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05" windowHeight="9375" tabRatio="960" firstSheet="6" activeTab="11"/>
  </bookViews>
  <sheets>
    <sheet name="09-91" sheetId="1" state="hidden" r:id="rId1"/>
    <sheet name="ЗЕТОР" sheetId="3" r:id="rId2"/>
    <sheet name="БЕЛАРУС" sheetId="4" r:id="rId3"/>
    <sheet name="търнава" sheetId="5" r:id="rId4"/>
    <sheet name="попица" sheetId="6" r:id="rId5"/>
    <sheet name="драшан габаре бъркачево враняк" sheetId="7" r:id="rId6"/>
    <sheet name="алтимир галиче" sheetId="8" r:id="rId7"/>
    <sheet name="бук. тл.ко. сок" sheetId="10" r:id="rId8"/>
    <sheet name="търнак БЪРДАРЕ" sheetId="11" r:id="rId9"/>
    <sheet name="68-48" sheetId="13" r:id="rId10"/>
    <sheet name="метачка" sheetId="15" r:id="rId11"/>
    <sheet name="ОБОЩЕНА" sheetId="17" r:id="rId12"/>
    <sheet name="БУЛДОЗЕР" sheetId="16" r:id="rId13"/>
    <sheet name="Лист1" sheetId="19" state="hidden" r:id="rId14"/>
    <sheet name="ИВЕКО49-04" sheetId="20" r:id="rId15"/>
    <sheet name="ШКОДА" sheetId="22" r:id="rId16"/>
    <sheet name="Зил" sheetId="23" r:id="rId17"/>
    <sheet name="ТК - 80" sheetId="26" r:id="rId18"/>
    <sheet name="МЕРЦЕДЕС 2437  " sheetId="29" r:id="rId19"/>
  </sheets>
  <definedNames>
    <definedName name="_xlnm.Print_Area" localSheetId="9">'68-48'!$A$2:$F$71</definedName>
    <definedName name="_xlnm.Print_Area" localSheetId="6">'алтимир галиче'!$A$1:$D$71</definedName>
    <definedName name="_xlnm.Print_Area" localSheetId="2">БЕЛАРУС!$A$2:$C$49</definedName>
    <definedName name="_xlnm.Print_Area" localSheetId="7">'бук. тл.ко. сок'!$A$2:$D$76</definedName>
    <definedName name="_xlnm.Print_Area" localSheetId="12">БУЛДОЗЕР!$A$1:$E$73</definedName>
    <definedName name="_xlnm.Print_Area" localSheetId="5">'драшан габаре бъркачево враняк'!$A$2:$F$81</definedName>
    <definedName name="_xlnm.Print_Area" localSheetId="1">ЗЕТОР!$A$2:$C$47</definedName>
    <definedName name="_xlnm.Print_Area" localSheetId="18">'МЕРЦЕДЕС 2437  '!$A$3:$C$47</definedName>
    <definedName name="_xlnm.Print_Area" localSheetId="10">метачка!$A$1:$C$53</definedName>
    <definedName name="_xlnm.Print_Area" localSheetId="11">ОБОЩЕНА!$A$2:$J$47</definedName>
    <definedName name="_xlnm.Print_Area" localSheetId="4">попица!$A$1:$E$64</definedName>
    <definedName name="_xlnm.Print_Area" localSheetId="3">търнава!$A$1:$E$66</definedName>
    <definedName name="_xlnm.Print_Area" localSheetId="8">'търнак БЪРДАРЕ'!$A$1:$D$72</definedName>
  </definedNames>
  <calcPr calcId="145621"/>
</workbook>
</file>

<file path=xl/calcChain.xml><?xml version="1.0" encoding="utf-8"?>
<calcChain xmlns="http://schemas.openxmlformats.org/spreadsheetml/2006/main">
  <c r="C39" i="3" l="1"/>
  <c r="C40" i="26"/>
  <c r="C38" i="26"/>
  <c r="C36" i="26"/>
  <c r="C28" i="26"/>
  <c r="C22" i="26"/>
  <c r="C24" i="26"/>
  <c r="C23" i="26"/>
  <c r="C17" i="26"/>
  <c r="C18" i="26"/>
  <c r="C20" i="26"/>
  <c r="C38" i="20" l="1"/>
  <c r="C22" i="20"/>
  <c r="C15" i="20" s="1"/>
  <c r="C16" i="20"/>
  <c r="E71" i="16" l="1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C73" i="16" l="1"/>
  <c r="C27" i="23" l="1"/>
  <c r="C17" i="23"/>
  <c r="C36" i="22"/>
  <c r="C17" i="22"/>
  <c r="C17" i="20"/>
  <c r="C66" i="11"/>
  <c r="C65" i="11"/>
  <c r="D67" i="11"/>
  <c r="C70" i="10"/>
  <c r="C69" i="10"/>
  <c r="C68" i="10"/>
  <c r="C45" i="10"/>
  <c r="C66" i="8"/>
  <c r="C65" i="8"/>
  <c r="D67" i="8"/>
  <c r="C47" i="7"/>
  <c r="C76" i="7"/>
  <c r="C75" i="7"/>
  <c r="C72" i="7"/>
  <c r="D77" i="7"/>
  <c r="C71" i="7"/>
  <c r="C19" i="7"/>
  <c r="C18" i="15"/>
  <c r="C51" i="6"/>
  <c r="C22" i="6"/>
  <c r="C18" i="6"/>
  <c r="C23" i="5"/>
  <c r="C20" i="4"/>
  <c r="C25" i="26" l="1"/>
  <c r="C34" i="23"/>
  <c r="C22" i="23"/>
  <c r="C16" i="23"/>
  <c r="C23" i="23" s="1"/>
  <c r="C34" i="22"/>
  <c r="C16" i="22"/>
  <c r="C24" i="22" s="1"/>
  <c r="C25" i="20"/>
  <c r="D63" i="13"/>
  <c r="C21" i="7"/>
  <c r="C17" i="7"/>
  <c r="C30" i="7"/>
  <c r="C58" i="7" s="1"/>
  <c r="C41" i="6"/>
  <c r="C29" i="6" s="1"/>
  <c r="C16" i="6"/>
  <c r="C17" i="5"/>
  <c r="C35" i="20"/>
  <c r="C28" i="20"/>
  <c r="C37" i="22"/>
  <c r="C26" i="26"/>
  <c r="C16" i="26" l="1"/>
  <c r="C24" i="23"/>
  <c r="C21" i="23" s="1"/>
  <c r="C23" i="22"/>
  <c r="C22" i="22"/>
  <c r="C24" i="20"/>
  <c r="C23" i="20"/>
  <c r="C16" i="7"/>
  <c r="C28" i="7" s="1"/>
  <c r="C26" i="7"/>
  <c r="C67" i="8"/>
  <c r="C37" i="26" l="1"/>
  <c r="C21" i="22"/>
  <c r="C25" i="7"/>
  <c r="C27" i="7"/>
  <c r="C39" i="26" l="1"/>
  <c r="C15" i="7"/>
  <c r="C42" i="8"/>
  <c r="C59" i="7" l="1"/>
  <c r="C60" i="7" s="1"/>
  <c r="C63" i="7" s="1"/>
  <c r="C64" i="7" s="1"/>
  <c r="J35" i="17"/>
  <c r="I32" i="17"/>
  <c r="J27" i="17"/>
  <c r="J26" i="17"/>
  <c r="J25" i="17"/>
  <c r="J24" i="17"/>
  <c r="J22" i="17"/>
  <c r="J21" i="17"/>
  <c r="J19" i="17"/>
  <c r="J18" i="17"/>
  <c r="J14" i="17"/>
  <c r="J13" i="17"/>
  <c r="J11" i="17"/>
  <c r="C29" i="29" l="1"/>
  <c r="C27" i="29" s="1"/>
  <c r="C35" i="29" s="1"/>
  <c r="C25" i="23" l="1"/>
  <c r="C25" i="22"/>
  <c r="C26" i="20"/>
  <c r="C24" i="16"/>
  <c r="C22" i="16" s="1"/>
  <c r="C31" i="16" s="1"/>
  <c r="C25" i="15"/>
  <c r="C28" i="15"/>
  <c r="C37" i="13"/>
  <c r="C31" i="13" s="1"/>
  <c r="C48" i="13" s="1"/>
  <c r="C42" i="11"/>
  <c r="C29" i="11" s="1"/>
  <c r="C53" i="11" s="1"/>
  <c r="C30" i="10"/>
  <c r="C56" i="10" s="1"/>
  <c r="C29" i="8"/>
  <c r="C53" i="8" s="1"/>
  <c r="C33" i="23" l="1"/>
  <c r="C35" i="23" s="1"/>
  <c r="C36" i="23" s="1"/>
  <c r="C37" i="23" s="1"/>
  <c r="I34" i="17" s="1"/>
  <c r="C33" i="22"/>
  <c r="C35" i="22" s="1"/>
  <c r="C34" i="20"/>
  <c r="C36" i="20" s="1"/>
  <c r="C37" i="20" s="1"/>
  <c r="I30" i="17" s="1"/>
  <c r="C24" i="15"/>
  <c r="C39" i="15" s="1"/>
  <c r="C42" i="5"/>
  <c r="C30" i="5" s="1"/>
  <c r="C52" i="5" s="1"/>
  <c r="C29" i="4"/>
  <c r="C27" i="4" s="1"/>
  <c r="C37" i="4" s="1"/>
  <c r="C27" i="3"/>
  <c r="C25" i="3" s="1"/>
  <c r="C35" i="3" s="1"/>
  <c r="C18" i="29" l="1"/>
  <c r="C17" i="29" s="1"/>
  <c r="C18" i="4"/>
  <c r="C17" i="4" s="1"/>
  <c r="C16" i="3"/>
  <c r="C15" i="3" s="1"/>
  <c r="C21" i="5"/>
  <c r="C16" i="5" s="1"/>
  <c r="C14" i="16"/>
  <c r="C13" i="16" s="1"/>
  <c r="C18" i="13"/>
  <c r="C22" i="13"/>
  <c r="C20" i="11"/>
  <c r="C16" i="11"/>
  <c r="C15" i="11" s="1"/>
  <c r="C21" i="10"/>
  <c r="C17" i="10"/>
  <c r="C20" i="8"/>
  <c r="C16" i="8"/>
  <c r="C20" i="6"/>
  <c r="C15" i="6" s="1"/>
  <c r="C26" i="29" l="1"/>
  <c r="C25" i="29"/>
  <c r="C24" i="29"/>
  <c r="C21" i="16"/>
  <c r="C19" i="16"/>
  <c r="C20" i="16"/>
  <c r="C26" i="11"/>
  <c r="C27" i="11"/>
  <c r="C25" i="11"/>
  <c r="C16" i="10"/>
  <c r="C27" i="10"/>
  <c r="C28" i="10"/>
  <c r="C26" i="10"/>
  <c r="C15" i="8"/>
  <c r="C27" i="8" s="1"/>
  <c r="C25" i="8"/>
  <c r="C26" i="8"/>
  <c r="C27" i="6"/>
  <c r="C25" i="6"/>
  <c r="C26" i="6"/>
  <c r="C27" i="5"/>
  <c r="C26" i="5"/>
  <c r="C28" i="5"/>
  <c r="C25" i="4"/>
  <c r="C26" i="4"/>
  <c r="C24" i="4"/>
  <c r="C24" i="3"/>
  <c r="C23" i="3"/>
  <c r="C22" i="3"/>
  <c r="C17" i="13"/>
  <c r="C27" i="13" s="1"/>
  <c r="E64" i="5"/>
  <c r="E63" i="6"/>
  <c r="C23" i="29" l="1"/>
  <c r="C16" i="29" s="1"/>
  <c r="C36" i="29" s="1"/>
  <c r="C21" i="3"/>
  <c r="C14" i="3" s="1"/>
  <c r="C36" i="3" s="1"/>
  <c r="C37" i="29"/>
  <c r="C38" i="29" s="1"/>
  <c r="C18" i="16"/>
  <c r="C12" i="16" s="1"/>
  <c r="C32" i="16" s="1"/>
  <c r="C33" i="16" s="1"/>
  <c r="C35" i="16" s="1"/>
  <c r="C24" i="11"/>
  <c r="C14" i="11" s="1"/>
  <c r="C54" i="11" s="1"/>
  <c r="C25" i="10"/>
  <c r="C15" i="10" s="1"/>
  <c r="C57" i="10" s="1"/>
  <c r="C58" i="10" s="1"/>
  <c r="C24" i="8"/>
  <c r="C14" i="8" s="1"/>
  <c r="C24" i="6"/>
  <c r="C14" i="6" s="1"/>
  <c r="C25" i="5"/>
  <c r="C15" i="5" s="1"/>
  <c r="C23" i="4"/>
  <c r="C16" i="4" s="1"/>
  <c r="C38" i="4" s="1"/>
  <c r="C30" i="13"/>
  <c r="C28" i="13"/>
  <c r="C67" i="11"/>
  <c r="C72" i="10"/>
  <c r="D72" i="10"/>
  <c r="C39" i="29" l="1"/>
  <c r="I31" i="17" s="1"/>
  <c r="C55" i="11"/>
  <c r="C54" i="8"/>
  <c r="C55" i="8" s="1"/>
  <c r="C52" i="6"/>
  <c r="C53" i="6" s="1"/>
  <c r="C53" i="5"/>
  <c r="C54" i="5" s="1"/>
  <c r="D64" i="5" s="1"/>
  <c r="C26" i="13"/>
  <c r="C16" i="13" s="1"/>
  <c r="C49" i="13" s="1"/>
  <c r="C50" i="13" s="1"/>
  <c r="C53" i="13" s="1"/>
  <c r="C54" i="13" s="1"/>
  <c r="C66" i="7"/>
  <c r="I10" i="17" s="1"/>
  <c r="C56" i="6" l="1"/>
  <c r="C57" i="6" s="1"/>
  <c r="D63" i="6"/>
  <c r="C63" i="13"/>
  <c r="C39" i="4" l="1"/>
  <c r="C40" i="4" l="1"/>
  <c r="C41" i="4"/>
  <c r="I33" i="17" s="1"/>
  <c r="C37" i="3"/>
  <c r="I28" i="17" l="1"/>
  <c r="C38" i="3"/>
  <c r="C61" i="10"/>
  <c r="C62" i="10" s="1"/>
  <c r="C64" i="10" l="1"/>
  <c r="I23" i="17" s="1"/>
  <c r="C56" i="13" l="1"/>
  <c r="I9" i="17" s="1"/>
  <c r="C59" i="6" l="1"/>
  <c r="I15" i="17" s="1"/>
  <c r="C57" i="5"/>
  <c r="C58" i="5" l="1"/>
  <c r="C60" i="5" s="1"/>
  <c r="I16" i="17" s="1"/>
  <c r="C58" i="11"/>
  <c r="C58" i="8"/>
  <c r="C16" i="15"/>
  <c r="C15" i="15" s="1"/>
  <c r="C59" i="11" l="1"/>
  <c r="C61" i="11" s="1"/>
  <c r="I17" i="17" s="1"/>
  <c r="C59" i="8"/>
  <c r="C61" i="8" s="1"/>
  <c r="I20" i="17" s="1"/>
  <c r="C23" i="15"/>
  <c r="C21" i="15"/>
  <c r="C20" i="15" s="1"/>
  <c r="C14" i="15" s="1"/>
  <c r="C22" i="15"/>
  <c r="C40" i="15" l="1"/>
  <c r="C41" i="15" s="1"/>
  <c r="C43" i="15" s="1"/>
  <c r="C44" i="15" s="1"/>
  <c r="J36" i="17" s="1"/>
  <c r="I38" i="17" l="1"/>
  <c r="L36" i="17"/>
  <c r="J46" i="17" l="1"/>
  <c r="L27" i="17"/>
  <c r="L46" i="17" s="1"/>
</calcChain>
</file>

<file path=xl/sharedStrings.xml><?xml version="1.0" encoding="utf-8"?>
<sst xmlns="http://schemas.openxmlformats.org/spreadsheetml/2006/main" count="1023" uniqueCount="441">
  <si>
    <t>I.</t>
  </si>
  <si>
    <t>III.</t>
  </si>
  <si>
    <t xml:space="preserve">№ по </t>
  </si>
  <si>
    <t xml:space="preserve">ред </t>
  </si>
  <si>
    <t>О  Б   Я   С   Н   Е   Н   И   Е</t>
  </si>
  <si>
    <t>СТОЙНОСТ</t>
  </si>
  <si>
    <t xml:space="preserve">ОСНОВНИ  ТЕХНИЧЕСКИ  ДАННИ </t>
  </si>
  <si>
    <t>2.ВИД  НА  ДВИГАТЕЛЯ   -   ДИЗЕЛ</t>
  </si>
  <si>
    <t>3.ВРЕМЕТРАЕНЕ  НА  РАБОТНИЯ  ДЕН -  8 ЧАСА</t>
  </si>
  <si>
    <t>4.ЕДНА  МАШИНОСМЯНА   =   4 КУРСА</t>
  </si>
  <si>
    <t>II.</t>
  </si>
  <si>
    <t xml:space="preserve"> ОБЩО  ЗА  ФРЗ  И  ОСИГУРОВКИ</t>
  </si>
  <si>
    <t>1.1.ШОФОЬР</t>
  </si>
  <si>
    <t xml:space="preserve">1.1.1. ОСНОВНА  ЗАПЛАТА </t>
  </si>
  <si>
    <t xml:space="preserve">1.1.2.ДОПЪЛНИТЕЛНА  ЗАПЛАТА </t>
  </si>
  <si>
    <t xml:space="preserve">2.1. ОСНОВНА ЗАПЛАТА </t>
  </si>
  <si>
    <t>2.2. ДОПЪЛНИТЕЛНА  ЗАПЛАТА</t>
  </si>
  <si>
    <t>3. РАЗХОДИ  ЗА  ОСИГУРОВКИ   ОБЩО</t>
  </si>
  <si>
    <t>РАЗХОДИ  ЗА  ГСМ</t>
  </si>
  <si>
    <t>2.РАЗХОД  НА  МАСЛО   ОБЩО</t>
  </si>
  <si>
    <t>Т.2 ДВ БР.93 ОТ 1989 ГОД. ЗА  ДИЗЕЛОВИ  ДВИГАТЕЛИ  СЕ ПОЛАГАТ 1% СПРЯМО</t>
  </si>
  <si>
    <t xml:space="preserve">   -  СМЯНА  НА  МАСЛОТО СЪГЛАСНО ЧЛ.14,АЛ.1,Т.4 ОТ НАРЕДБА № 3  ОТ</t>
  </si>
  <si>
    <t xml:space="preserve">25.09.1989 ГОД. СЕ  ПОЛАГА  НА 8000 КМ. ПРОБЕГ ИЛИ  1 ПЪТ В ГОДИНАТА </t>
  </si>
  <si>
    <t xml:space="preserve"> - ЗА  ХИДРАВЛИКАТА</t>
  </si>
  <si>
    <t xml:space="preserve">    -  СМЯНА  НА  МАСЛОТО  НА  ХИДРАВЛИКАТА </t>
  </si>
  <si>
    <t>IV.</t>
  </si>
  <si>
    <t>V.</t>
  </si>
  <si>
    <t>VI.</t>
  </si>
  <si>
    <t>VII.</t>
  </si>
  <si>
    <t>VIII.</t>
  </si>
  <si>
    <t>СЕБЕСТОЙНОСТ  Р.II+III+IV+V</t>
  </si>
  <si>
    <t>ОП"ЧИСТОТА  И  СТРОИТЕЛСТВО"  ГР.БЯЛА  СЛАТИНА</t>
  </si>
  <si>
    <t>К   А   Л   К   У    Л  А    Ц  И   Я</t>
  </si>
  <si>
    <t>IX.</t>
  </si>
  <si>
    <t>X.</t>
  </si>
  <si>
    <t>ЗА ОПРЕДЕЛЯНЕ  ЦЕНАТА  НА  ЕДНА  МАШИНОСМЯНА НА СМЕТОСЪБИРАЩА</t>
  </si>
  <si>
    <t>1 кофа  МЕВА  =  0,11 куб. м.</t>
  </si>
  <si>
    <t>1  БОБЪР  =  1,1  кум. М.</t>
  </si>
  <si>
    <t xml:space="preserve">2. РАБОТНИК  -   3 МА </t>
  </si>
  <si>
    <t>1.СУПЕР ДИЗЕЛ  - ЗА  ТОВАРЕНЕ         -   1,250lt.</t>
  </si>
  <si>
    <r>
      <t xml:space="preserve">  </t>
    </r>
    <r>
      <rPr>
        <u/>
        <sz val="11"/>
        <color theme="1"/>
        <rFont val="Calibri"/>
        <family val="2"/>
        <charset val="204"/>
        <scheme val="minor"/>
      </rPr>
      <t>НАСЕЛЕНО  МАСТО                 БЕЗ ТОВАР     С  ТОВАР     ИЗ  РАЙОНА            БРОЙ КОНТ</t>
    </r>
  </si>
  <si>
    <t>ЗА  ТОВАРЕНЕ        16 КМ. Х 1,250lt.   =  20,00lt.</t>
  </si>
  <si>
    <t>СЕБЕСТОЙНОСТ  Р.II+III+IV+V  ЗА  РАЗХОДИТЕ ЗА ЕДИН  ДЕН</t>
  </si>
  <si>
    <t xml:space="preserve">ЦЕНА  НА  ЕДИН  КУРС </t>
  </si>
  <si>
    <t>БЯЛА СЛАТИНА  -  ТЪРНАВА</t>
  </si>
  <si>
    <t xml:space="preserve">БЯЛА СЛАТИНА  -  ПОПИЦА </t>
  </si>
  <si>
    <t>ОРЯХОВО - Б.СЛАТИНА              40 КМ.</t>
  </si>
  <si>
    <t xml:space="preserve">1.СУПЕР ДИЗЕЛ  -    ГРАДА                                       </t>
  </si>
  <si>
    <t xml:space="preserve">  СМЯНА  НА МАСЛОТО  ЕДИН  ПЪТ ГОДИШНО</t>
  </si>
  <si>
    <t xml:space="preserve">  -  ЗА  ДОЛИВАНЕ  НА  ДВИГАТЕЛЯ- СЪГЛАСНО  ИНСТРУКЦИЯ ЗА  ЕКСПЛОАТЦИЯ  НА </t>
  </si>
  <si>
    <t xml:space="preserve"> - ЗА  ХИДРАВЛИКАТА СЪГЛАСНО СЪЩАТА  ИНСТРУКЦИЯ СЕ ПОЛАГАТ 0,5 %  СПРЯМО</t>
  </si>
  <si>
    <t>ЗА ОПРЕДЕЛЯНЕ  ЦЕНАТА  НА  ЕДНА  МАШИНОСМЯНА НА БУЛДОЗЕР</t>
  </si>
  <si>
    <t>БЯЛА СЛАТИНА  -  -  ГРАДА</t>
  </si>
  <si>
    <t>1.</t>
  </si>
  <si>
    <t>1. ТИП  НА МАШИНАТА   -  БУЛДОЗЕР</t>
  </si>
  <si>
    <t>1. РАЗХОДИ ЗА  ГОРИВО</t>
  </si>
  <si>
    <t xml:space="preserve">4.ЕДНА  МАШИНОСМЯНА  </t>
  </si>
  <si>
    <t>1. ТИП  НА МАШИНАТА   -  ЗЕТОР</t>
  </si>
  <si>
    <t>1.1.ШОФЬОР</t>
  </si>
  <si>
    <t xml:space="preserve">   - ЗА ПРОСЛУЖЕНО  ВРЕМЕ  - 15%</t>
  </si>
  <si>
    <t>1. ТИП  НА МАШИНАТА   -  МАН -сметосъбирачка</t>
  </si>
  <si>
    <t>10 кофи МЕВА  = 1  БОБЪР</t>
  </si>
  <si>
    <t>ЗА ОПРЕДЕЛЯНЕ  ЦЕНАТА  НА  ЕДНА  МАШИНОСМЯНА НА МЕТАЧКА</t>
  </si>
  <si>
    <t>1. ТИП  НА МАШИНАТА   -  БУЧЕР</t>
  </si>
  <si>
    <t>4.ЕДНА  МАШИНОСМЯНА  - 4ЧАСА</t>
  </si>
  <si>
    <t>2. РАЗХОДИ  ЗА  ОСИГУРОВКИ   ОБЩО</t>
  </si>
  <si>
    <t>ВРАНЯК  - БЪРКАЧЕВО                                             3 КМ.               8 КМ.                      33</t>
  </si>
  <si>
    <t>С  ОТЧИСЛЕНИЯТА  ЗА  ДЕПОНИРАНЕ  НА  БИТОВИ  ОТПАДЪЦИ  КЪМ  ОБЩИНА  ОРЯХОВО</t>
  </si>
  <si>
    <t>3.4.ППФ         7% Х 29,57    =2,07</t>
  </si>
  <si>
    <t>ОБЩО ПО КАЛКУЛАЦИИ:</t>
  </si>
  <si>
    <t>ВСИЧКО ЗА ДЕЙНОСТТА:</t>
  </si>
  <si>
    <t xml:space="preserve">1. ТИП  НА МАШИНАТА   </t>
  </si>
  <si>
    <t>ЦЕНА  НА  ЕДИН ДЕН</t>
  </si>
  <si>
    <t>ЗА ОПРЕДЕЛЯНЕ  ЦЕНАТА  НА  ЕДНА  МАШИНОСМЯНА НА ШКОДА ВОДОНОСКА</t>
  </si>
  <si>
    <t>СЪСТАВИЛ…………………………                                                     ДИРЕКТОР:……………………………………….</t>
  </si>
  <si>
    <t xml:space="preserve">  СЕ  ПОЛАГАТ 4%  КЪМ  ОСНОВНОТО  ГОРИВО  ИЛИ </t>
  </si>
  <si>
    <t xml:space="preserve">  -  ЗА  ДОЛИВАНЕ  НА  ДВИГАТЕЛЯ- СЪГЛАСНО  ИНСТРУКЦИЯ ЗА  ЕКСПЛОАТАЦИЯ </t>
  </si>
  <si>
    <t>Населено място                              брой                        ед. Цена                                   общо</t>
  </si>
  <si>
    <t>Враняк                                                    24                               233,22                                 5597,28</t>
  </si>
  <si>
    <t>Бъркачево                                             35                              233,22                                 8162,70</t>
  </si>
  <si>
    <t>ЗА ОПРЕДЕЛЯНЕ  ЦЕНАТА  НА  ЕДНА  МАШИНОСМЯНА НА ЗИЛ</t>
  </si>
  <si>
    <t>Т.2 ДВ БР.93 ОТ 1989 ГОД. ЗА  ДИЗЕЛОВИТЕ  ДВИГАТЕЛИ  СЕ ПОЛАГАТ 1% СПРЯМО</t>
  </si>
  <si>
    <t>БЪРКАЧЕВО  - ОРЯХОВО                                       48 КМ.</t>
  </si>
  <si>
    <t>ОБЩО</t>
  </si>
  <si>
    <t xml:space="preserve">ВСИЧКО:                                                         </t>
  </si>
  <si>
    <t>ОП"ЧИСТОТА  И  СТРОИТЕЛСТВО"  ГР. БЯЛА  СЛАТИНА</t>
  </si>
  <si>
    <t>ПОПИЦА - ОРЯХОВО                                                 46 КМ.</t>
  </si>
  <si>
    <t>ЦЕНА  НА ЕДИН ДЕН Р.VI И VII</t>
  </si>
  <si>
    <t>ЗА ОПРЕДЕЛЯНЕ  ЦЕНАТА  НА  ЕДНА  МАШИНОСМЯНА НА ИВЕКО</t>
  </si>
  <si>
    <t>ОП "ЧИСТОТА  И  СТРОИТЕЛСТВО "  ГР. БЯЛА  СЛАТИНА</t>
  </si>
  <si>
    <t>1. ТИП  НА МАШИНАТА   - ТК - 80</t>
  </si>
  <si>
    <t>ЗА ОПРЕДЕЛЯНЕ  ЦЕНАТА  НА  ЕДНА  МАШИНОСМЯНА НАТРАКТОР ТК - 80</t>
  </si>
  <si>
    <t>ОРЯХОВО - Б.СЛАТИНА                   40 КМ.</t>
  </si>
  <si>
    <t xml:space="preserve">   - ЗА ПРОСЛУЖЕНО  ВРЕМЕ  - 15 %</t>
  </si>
  <si>
    <t>2.1 Драшан</t>
  </si>
  <si>
    <t>2.2 Габаре</t>
  </si>
  <si>
    <t>1. ТИП  НА МАШИНАТА   -  МАН</t>
  </si>
  <si>
    <t xml:space="preserve">                                  - ЗА  ТРАНСПОРТ      -   0,280 Lt.</t>
  </si>
  <si>
    <t>1.СУПЕР ДИЗЕЛ  - ЗА  ТОВАРЕНЕ         -   1,250 lt.</t>
  </si>
  <si>
    <t>ТРАНСПОРТ            92 КМ. Х 0,280 lt.   =  25,76 lt.</t>
  </si>
  <si>
    <t>ЗА  ТОВАРЕНЕ        16 КМ. Х 1,250 lt.   =  20,00 lt.</t>
  </si>
  <si>
    <t>НОРМЕНИЯТ РАЗХОЗД  НА  ГОРИВО  45,76 lt. Х 1 % = 0,46 lt. Х 8,00 ЛВ. =</t>
  </si>
  <si>
    <t xml:space="preserve">   -  СМЯНА  НА  МАСЛОТО СЪГЛАСНО ЧЛ. 14, АЛ. 1, Т.4 ОТ НАРЕДБА № 3  ОТ</t>
  </si>
  <si>
    <t xml:space="preserve">                                      40 lt. Х 8,00ЛВ. = 320,00 ЛВ. : 12М.:21 ДНИ   = </t>
  </si>
  <si>
    <t xml:space="preserve">    - ЗА  ДОЛИВАНЕ    25%  ВЪРХУ  1,27 ЛВ.  = </t>
  </si>
  <si>
    <t xml:space="preserve">                                  - ЗА  ТРАНСПОРТ      -   0,280lt.</t>
  </si>
  <si>
    <t>ТРАНСПОРТ            80 КМ. Х 0,280lt.   =  22,40lt.</t>
  </si>
  <si>
    <t>НОРМЕНИЯТ РАЗХОЗД  НА  ГОРИВО  42,40 lt. Х 1 % = 0,42 lt. Х 8,00 ЛВ. =</t>
  </si>
  <si>
    <t>Т.2 ДВ БР.93 ОТ 1989 ГОД. ЗА  ДИЗЕЛОВИ  ДВИГАТЕЛИ  СЕ ПОЛАГАТ 1 % СПРЯМО</t>
  </si>
  <si>
    <t xml:space="preserve">   -  СМЯНА  НА  МАСЛОТО СЪГЛАСНО ЧЛ. 14, АЛ.1, Т. 4 ОТ НАРЕДБА № 3  ОТ</t>
  </si>
  <si>
    <t xml:space="preserve">                                  - ЗА  ТРАНСПОРТ      -   0,280 lt.</t>
  </si>
  <si>
    <t>ЗА  ТОВАРЕНЕ          16 КМ. Х 1,250 lt.   =  20,00lt.</t>
  </si>
  <si>
    <t>ТРАНСПОРТ            128 КМ. Х 0,280 lt.   =  35,84 lt.</t>
  </si>
  <si>
    <t>НОРМЕНИЯТ РАЗХОЗД  НА  ГОРИВО  55,84 lt. Х 1 % = 0,56 lt. Х 8,00 ЛВ. =</t>
  </si>
  <si>
    <t>БЯЛА СЛАТИНА  -  -БУКОВЕЦ, ТЛАЧЕНЕ, КОМАРЕВО, СОКОЛАРЕ</t>
  </si>
  <si>
    <t xml:space="preserve">   В ГРАДА                                                            15 км Х 1,25 lt.      =  18,75lt. </t>
  </si>
  <si>
    <t xml:space="preserve">  ТРАНСПОРТ ДЕПО ОРЯХОВО                   80 км Х 0,280 lt.   =   22,40lt.</t>
  </si>
  <si>
    <t>НОРМЕНИЯТ РАЗХОД  НА  ГОРИВО  41,15lt.Х1% = 0,41 lt. Х 8,00 ЛВ. =</t>
  </si>
  <si>
    <t>24lt. Х 8 ,00 ЛВ.  = 192,00 ЛВ. : 12МЕС. : 21 ДНИ  =</t>
  </si>
  <si>
    <t>16,00lt. Х 4% = 0,64 lt. Х 8,00ЛВ. =</t>
  </si>
  <si>
    <t>ЗА ОПРЕДЕЛЯНЕ  ЦЕНАТА  НА  ЕДНА  МАШИНОСМЯНА НА ТРАКТОР БЕЛАРУС</t>
  </si>
  <si>
    <t>7 lt.Х 8,00 ЛВ.  = 56,00 ЛВ. : 12МЕС.:21ДНИ  = 0,22</t>
  </si>
  <si>
    <t>18lt.Х 8,00 ЛВ.  = 144,00 ЛВ. : 12МЕС.:21ДНИ  = 0,57</t>
  </si>
  <si>
    <t>НОРМЕНИЯТ РАЗХОД  НА  ГОРИВО  21,36lt.Х1% = 0,21lt.Х 8,00 ЛВ. = 1,68</t>
  </si>
  <si>
    <t>8 l. Х 8,00 ЛВ.  = 64,00 ЛВ. : 12МЕС.:21ДНИ  = 0,25</t>
  </si>
  <si>
    <t>24lt. Х 8,00 ЛВ.  = 192,00 ЛВ. : 12МЕС.:21ДНИ  =</t>
  </si>
  <si>
    <t>20,16 lt. Х 4% = 0,80lt.  Х 8,00ЛВ. =</t>
  </si>
  <si>
    <t xml:space="preserve">НОРМЕНИЯТ РАЗХОД  НА  ГОРИВО  34lt х 1%=0,34lt х 8,00лв </t>
  </si>
  <si>
    <t xml:space="preserve">                  6lt х 8,00лв.= 48.00лв :12м :21 дни/ за един ден/</t>
  </si>
  <si>
    <t>за сметосъбиране</t>
  </si>
  <si>
    <t>чл.60 и 64 ЗУО</t>
  </si>
  <si>
    <t>Сметосъб.</t>
  </si>
  <si>
    <t>Чл.60 от ЗУО</t>
  </si>
  <si>
    <t>Сметосъбиране</t>
  </si>
  <si>
    <t>чл.60и 64 ЗУО</t>
  </si>
  <si>
    <t>Сметосъбир.</t>
  </si>
  <si>
    <t>чл.60 и64 ЗУО</t>
  </si>
  <si>
    <t>СЪСТАВИЛ………………………                                                     ДИРЕКТОР:……………………………………….</t>
  </si>
  <si>
    <t>1. ТИП  НА МАШИНАТА   -  БЕЛАРУС</t>
  </si>
  <si>
    <t>Тлачене</t>
  </si>
  <si>
    <t xml:space="preserve">Алтимир -                      </t>
  </si>
  <si>
    <t xml:space="preserve">Бъркачево -                    </t>
  </si>
  <si>
    <t xml:space="preserve">Бърдарски геран        </t>
  </si>
  <si>
    <t xml:space="preserve">Буковец                          </t>
  </si>
  <si>
    <t xml:space="preserve">Габаре                        </t>
  </si>
  <si>
    <t xml:space="preserve">Попица                        </t>
  </si>
  <si>
    <t xml:space="preserve">Търнава                   </t>
  </si>
  <si>
    <t xml:space="preserve">Търнак                       </t>
  </si>
  <si>
    <t xml:space="preserve">Враняк                            </t>
  </si>
  <si>
    <t xml:space="preserve">Галиче                      </t>
  </si>
  <si>
    <t xml:space="preserve">Драшан                 </t>
  </si>
  <si>
    <t xml:space="preserve">Комарево                    </t>
  </si>
  <si>
    <t xml:space="preserve">Соколаре                       </t>
  </si>
  <si>
    <t xml:space="preserve">Бяла Слатина           </t>
  </si>
  <si>
    <t xml:space="preserve">БЪРКАЧЕВО  -  ОРЯХОВО                                        50 КМ.            </t>
  </si>
  <si>
    <t>ТРАНСПОРТ            132 КМ. Х 0,280lt.   =  36,96 lt.</t>
  </si>
  <si>
    <t>ЗА  ТОВАРЕНЕ        25 КМ. Х 1,250lt.   =    31,25 lt.</t>
  </si>
  <si>
    <t>НОРМЕНИЯТ РАЗХОЗД  НА  ГОРИВО  68,21 lt. Х 1% = 0,68 lt. Х 8,00 ЛВ. =</t>
  </si>
  <si>
    <t xml:space="preserve">ГАЛИЧЕ   -  ОРЯХОВО                                                  22 КМ.              </t>
  </si>
  <si>
    <t>ТРАНСПОРТ            87  КМ. Х 0,280 lt.   =  24,36 lt.</t>
  </si>
  <si>
    <t>ЗА  ТОВАРЕНЕ        36 КМ. Х 1,250 lt.   =    45,00 lt.</t>
  </si>
  <si>
    <t>НОРМЕНИЯТ РАЗХОЗД  НА  ГОРИВО  69,36 lt. Х 1 % = 0,69 lt. Х 8,00 ЛВ. =</t>
  </si>
  <si>
    <t>БЪРДАРСКИ ГЕРАН - ОРЯХОВО -                          49 КМ.</t>
  </si>
  <si>
    <t>ТРАНСПОРТ            116 КМ. Х 0,280lt.   =  32,48 lt.</t>
  </si>
  <si>
    <t>НОРМЕНИЯТ РАЗХОЗД  НА  ГОРИВО  63,73 l t. Х 1% = 0,64 lt. Х 8,00 ЛВ. =</t>
  </si>
  <si>
    <t>2 . ДРАШАН, ГАБАРЕ,ВРАНЯК, БЪРКАЧЕВО - 4 пъти месечно</t>
  </si>
  <si>
    <t>2.3 Враняк</t>
  </si>
  <si>
    <t>2.4 Бъркачево</t>
  </si>
  <si>
    <t>3. ПОПИЦА - 4 пъти месечно</t>
  </si>
  <si>
    <t>4.ТЪРНАВА - 4 пъти месечно</t>
  </si>
  <si>
    <t>6. АЛТИМИР ГАЛИЧЕ - 4 пъти месечно</t>
  </si>
  <si>
    <t>6,1 АЛТИМИР</t>
  </si>
  <si>
    <t>6,2 ГАЛИЧЕ</t>
  </si>
  <si>
    <t>7. БУКОВЕЦ, ТЛАЧЕНЕ, КОМАРЕВО, СОКОЛАРЕ - 4 пъти месечно</t>
  </si>
  <si>
    <t>7.1 Буковец</t>
  </si>
  <si>
    <t>7.2 Тлачене</t>
  </si>
  <si>
    <t>7.3 Комарево</t>
  </si>
  <si>
    <t>7.4 Соколаре</t>
  </si>
  <si>
    <t>9. БУЛДОЗЕР</t>
  </si>
  <si>
    <t>5. ТЪРНАК - БЪРДАРСКИ ГЕРАН - 4 пъти месечно</t>
  </si>
  <si>
    <t>5.2 БЪРДАРСКИ ГЕРАН</t>
  </si>
  <si>
    <t>5.1 ТЪРНАК</t>
  </si>
  <si>
    <t>БЯЛА СЛАТИНА  -  ДРАШАН, ГАБАРЕ, ВРАНЯК, БЪРКАЧЕВО</t>
  </si>
  <si>
    <t>БЯЛА СЛАТИНА  -  АЛТИМИР, ГАЛИЧЕ</t>
  </si>
  <si>
    <t>БЯЛА СЛАТИНА  -  -ТЪРНАК, БЪРДАРСКИ ГЕРАН</t>
  </si>
  <si>
    <t xml:space="preserve">   - ЗА ПРОСЛУЖЕНО  ВРЕМЕ  - 20%</t>
  </si>
  <si>
    <t>АЛТИМИР - ГАЛИЧЕ                                                    12 КМ.                  20 КМ                     72</t>
  </si>
  <si>
    <t xml:space="preserve">                                                               53 КМ.                  34 КМ.               36 КМ.                     128</t>
  </si>
  <si>
    <t>ДОПЪЛНИТЕЛНИ  РАЗХОДИ  120% ВЪРХУ Р.II 54,04  ЛВ.</t>
  </si>
  <si>
    <t>ДОПЪЛНИТЕЛНИ  РАЗХОДИ  120% ВЪРХУ Р.II 54,36 лв.</t>
  </si>
  <si>
    <t xml:space="preserve">ДЕПОНИРАНЕ  ЗА  ЕДИН  ДЕН  6,5 т. Х 26,05 лв. </t>
  </si>
  <si>
    <t xml:space="preserve">ДЕПОНИРАНЕ  ЗА  ЕДИН  ДЕН  7,5 т. Х 26,05 лв. </t>
  </si>
  <si>
    <t xml:space="preserve">ДЕПОНИРАНЕ  ЗА  ЕДИН  ДЕН  7,5 т. Х 26,05 лв.   </t>
  </si>
  <si>
    <t xml:space="preserve">ДЕПОНИРАНЕ  ЗА  ЕДИН  ДЕН  7 т. Х 26,05 лв.  </t>
  </si>
  <si>
    <t xml:space="preserve">   - ЗА ПРОСЛУЖЕНО  ВРЕМЕ  - 44%</t>
  </si>
  <si>
    <t xml:space="preserve">   - ЗА ПРОСЛУЖЕНО  ВРЕМЕ  - 16 %</t>
  </si>
  <si>
    <t xml:space="preserve">   - ЗА ПРОСЛУЖЕНО  ВРЕМЕ  - 22 %</t>
  </si>
  <si>
    <t>ЗА ОПРЕДЕЛЯНЕ  ЦЕНАТА  НА  ЕДНА  МАШИНОСМЯНА НА  МЕРЦЕДЕС  ВР 2437</t>
  </si>
  <si>
    <t>ЗА  2022  ГОД.</t>
  </si>
  <si>
    <t>Цената  на горивото  е  взета от  фактурата  за м. Октомври  2021  год.</t>
  </si>
  <si>
    <t>24lt.Х8,00 ЛВ.  = 192,00 ЛВ. : 12МЕС.:21ДНИ  =</t>
  </si>
  <si>
    <t>СЕБЕСТОЙНОСТ  Р.II+III+IV+V     МАШИНОСМЯНА</t>
  </si>
  <si>
    <t>4.ЕДНА  МАШИНОСМЯНА   =   4 МОТОЧАСА</t>
  </si>
  <si>
    <t xml:space="preserve">                            - ЗА  ТРАНСПОРТ      -   0,280lt.</t>
  </si>
  <si>
    <t>Б.СЛАТИНА -ТЪРНАВА                    6 КМ.                                   16 КМ                       134</t>
  </si>
  <si>
    <t>ТЪРНАВА - ОРЯХОВО                                             34 КМ.</t>
  </si>
  <si>
    <t>ОРЯХОВО - Б.СЛАТИНА                 40 КМ.</t>
  </si>
  <si>
    <t xml:space="preserve">                                                        46 КМ.            34 КМ.             16 КМ.                     134</t>
  </si>
  <si>
    <t xml:space="preserve">Б.СЛАТИНА -ПОПИЦА                   6 КМ.                                         16 КМ                       105 </t>
  </si>
  <si>
    <t xml:space="preserve">                                                              46 КМ.                46 КМ.             16 КМ.                  105</t>
  </si>
  <si>
    <t>ВРАНЯК  - БЪРКАЧЕВО                                              4 КМ.               8 КМ.                      43</t>
  </si>
  <si>
    <t>ДРАШАН  - ГАБАРЕ                                                    5 КМ.               8 КМ                        49</t>
  </si>
  <si>
    <t>ГАБАРЕ - ВРАНЯК                                                        5 КМ               6 КМ                        28</t>
  </si>
  <si>
    <t xml:space="preserve">                                                           68КМ.                 64КМ.            25 КМ.                   141</t>
  </si>
  <si>
    <t xml:space="preserve">Б.СЛАТИНА - АЛТИМИР            13 КМ.                                                  16 КМ                     60        </t>
  </si>
  <si>
    <t>МАШИНА "МАН" ВР 46 27  ЗА  2022  ГОД.</t>
  </si>
  <si>
    <t>МАШИНА "МАН"  ВР 46 27  ЗА  2022  ГОД.</t>
  </si>
  <si>
    <t>БУЧЕР  ЗА  2022 ГОД.</t>
  </si>
  <si>
    <t xml:space="preserve">ЦЕНА ЗА  ОБСЛУЖВАНЕ НА  ЕДИН  БОБЪР НА ДЕН 87 137,44 лв. : 52 д. :132 бр. = </t>
  </si>
  <si>
    <t>Населено място                              брой                        ед. Цена                       общо</t>
  </si>
  <si>
    <t xml:space="preserve">ДЕПОНИРАНЕ  ЗА  ЕДИН  ДЕН 7,5 т Х 26,05 лв.  </t>
  </si>
  <si>
    <t>час</t>
  </si>
  <si>
    <t>цена</t>
  </si>
  <si>
    <t>общо</t>
  </si>
  <si>
    <t>СЪСТАВИЛ…………………………                                                                       ДИРЕКТОР:……………………………………….</t>
  </si>
  <si>
    <t xml:space="preserve">ЧЛ.15 Т.1Т.2 ДВ БР.93 ОТ 1989 ГОД. ЗА БЕНЗИНОВИТЕ ДВИГАТЕЛИ СЕ ПОЛАГАТ </t>
  </si>
  <si>
    <t xml:space="preserve"> - ЗА  ХИДРАВЛИКАТА СЪГЛАСНО СЪЩАТА  ИНСТРУКЦИЯ СЕ ПОЛАГАТ </t>
  </si>
  <si>
    <t xml:space="preserve">  -  ЗА  ДОЛИВАНЕ  НА  ДВИГАТЕЛЯ- СЪГЛАСНО  ИНСТРУКЦИЯ ЗА  </t>
  </si>
  <si>
    <t xml:space="preserve">  ЕКСПЛОАТАЦИЯ СЕ  ПОЛАГАТ 4%  КЪМ  ОСНОВНОТО  ГОРИВО  ИЛИ </t>
  </si>
  <si>
    <t xml:space="preserve">ЧЛ.15 Т.1 Т.2 ДВ БР.93 ОТ 1989 ГОД. ЗА ДИЗЕЛОВИТЕ ДВИГАТЕЛИ СЕПОЛАГАТ  </t>
  </si>
  <si>
    <t>11. МЕРЦЕДЕС ВР:24-37</t>
  </si>
  <si>
    <t>12. ШКОДА ВОДОНОСКА</t>
  </si>
  <si>
    <t>14. ЗИЛ</t>
  </si>
  <si>
    <t>15. ТК - 80</t>
  </si>
  <si>
    <t>ЗА  2022 ГОД.ЗА  ЗАКУПУВАНЕ  НА  СЪДОВЕ  ЗА  СЪХРАНЕНИЕ НА  БИТОВИ  ОТПАДЪЦИ./30бр.контейнер"Бобър"и 300бр. Кофи "Мева"</t>
  </si>
  <si>
    <t>СЪСТАВИЛ…………………………                                                                    ДИРЕКТОР:……………………………………….</t>
  </si>
  <si>
    <t>СЪСТАВИЛ…………………………                                                                        ДИРЕКТОР:……………………………………….</t>
  </si>
  <si>
    <t>СЪСТАВИЛ…………………………                                                       ДИРЕКТОР:……………………………………….</t>
  </si>
  <si>
    <t xml:space="preserve">    СЪСТАВИЛ…………………………                                                                                                                ДИРЕКТОР:……………………………………….</t>
  </si>
  <si>
    <t>СОКОЛАРЕ -  ОРЯХОВО                                            53 КМ.</t>
  </si>
  <si>
    <t>Б.СЛАТИНА -БУКОВЕЦ                 24 КМ.                                          3 КМ.                    23</t>
  </si>
  <si>
    <t>БУКОВЕЦ - ТЛАЧЕНЕ                                                   2 КМ.             5 КМ.                    30</t>
  </si>
  <si>
    <t xml:space="preserve">ТЛАЧЕНЕ  -  КОМАРЕВО                                             3 КМ.             3 КМ.                     22                   </t>
  </si>
  <si>
    <t>КОМАРЕВО - СОКОЛАРЕ                                            6 КМ.             5 КМ.                     37</t>
  </si>
  <si>
    <t xml:space="preserve">                                                     64 КМ.                64 КМ.             16 КМ.             106 </t>
  </si>
  <si>
    <t>10. ИВЕКО 49-04</t>
  </si>
  <si>
    <t xml:space="preserve">1. М А Н   ЗА  ГР. БЯЛА  СЛАТИНА     2 бр.                                                            </t>
  </si>
  <si>
    <t xml:space="preserve">16. МОТОМЕТАЧНА МАШИНА "БУЧЕР"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</si>
  <si>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2БР</t>
  </si>
  <si>
    <t>13. ТРАКТОР БЕЛАРУС  2 БРОЯ</t>
  </si>
  <si>
    <t>8.ТРАКТОР   ЗЕТОР  2 БРОЯ</t>
  </si>
  <si>
    <t xml:space="preserve">ВСИЧКО :                                                                                                     41,15 lt. Х 3,30ЛВ= </t>
  </si>
  <si>
    <t>МАШИНА "МАН"  ВР 68-48  ЗА  2023  ГОД.</t>
  </si>
  <si>
    <t>ЗА ОПРЕДЕЛЯНЕ  ЦЕНАТА  НА  ЕДНА  МАШИНОСМЯНА НА ТРАКТОР ЗЕТОР ЗА  2023 ГОД.</t>
  </si>
  <si>
    <t>1.СУПЕР ДИЗЕЛ  - 4 М/ЧАСА  Х 4,00 lt.  = 16,00lt. Х 3,30 ЛВ. =</t>
  </si>
  <si>
    <t xml:space="preserve">ОСНОВНОТО  ГОРИВО    16,00lt.Х0,5%  =  0,08 lt.  Х 3,30 ЛВ.=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</si>
  <si>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58,94 ЛВ.  =</t>
    </r>
  </si>
  <si>
    <t>ЦЕНА  НА  ЕДИН ЧАС  435,75 лв. : 8 ЧАСА</t>
  </si>
  <si>
    <t>Цената  на горивото  е  взета от  фактурата  за м. Октомври  2022  год.</t>
  </si>
  <si>
    <t xml:space="preserve">   - ЗА ПРОСЛУЖЕНО  ВРЕМЕ  - 10 %</t>
  </si>
  <si>
    <t xml:space="preserve">1.РАЗХОД  ЗА  ФРЗ  ОБЩО: 2759лв.   : 21   = </t>
  </si>
  <si>
    <t>2. РАБОТНИК  -   2 МА  х 890,00 / с вкл.клас просл.време/</t>
  </si>
  <si>
    <t>3.1. ДОО                     12,02 % Х  131,38    =</t>
  </si>
  <si>
    <t>3.2. ЗОВ                         4,8 %  Х   131,38    =</t>
  </si>
  <si>
    <t>3.3.ДЗПО                      2,8 %  Х  131,38=</t>
  </si>
  <si>
    <t>ДОПЪЛНИТЕЛНИ  РАЗХОДИ  120 % ВЪРХУ Р.II 157,16 лв.</t>
  </si>
  <si>
    <t>ЦЕНА  НА  ЕДИН ЧАС  422,37 лв. : 8 ЧАСА</t>
  </si>
  <si>
    <t xml:space="preserve">ГОДИШЕН РАЗХОД 422,37 лв. Х 105 р. дни </t>
  </si>
  <si>
    <t>МАШИНА "МАН"  ВР 4627   ЗА  2023  ГОД.</t>
  </si>
  <si>
    <t xml:space="preserve">1.РАЗХОД  ЗА  ФРЗ  ОБЩО:  4224  : 21   = </t>
  </si>
  <si>
    <t>3.1. ДОО    12,02 % Х 201,14 лв.</t>
  </si>
  <si>
    <t>3.2. ЗОВ     4,8% Х  201,14</t>
  </si>
  <si>
    <t>3.3 ДЗПО  2,8% Х201,14 лв.</t>
  </si>
  <si>
    <t xml:space="preserve">ВСИЧКО:                                                           42,40lt. Х  3,30 лв.  =   </t>
  </si>
  <si>
    <t xml:space="preserve">      100 lt.  Х 3,30ЛВ. =  330,00ЛВ. : 12 М.: 21  ДНИ  =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</si>
  <si>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145,89   =</t>
    </r>
  </si>
  <si>
    <t>ДОПЪЛНИТЕЛНИ  РАЗХОДИ  120% ВЪРХУ Р.II  240,61 лв.</t>
  </si>
  <si>
    <t>Цената  на горивото  е  взета от  фактурата  за м. Октомври  2022 год.</t>
  </si>
  <si>
    <t>МАШИНА "МАН" ВР 4627  ЗА  2023  ГОД.</t>
  </si>
  <si>
    <t xml:space="preserve">1.РАЗХОД  ЗА  ФРЗ  ОБЩО:  4240 : 21   = </t>
  </si>
  <si>
    <t>3.1. ДОО    12,02 % Х 201,90 лв.</t>
  </si>
  <si>
    <t>3.2. ЗОВ     4,8% Х 201,90 лв.</t>
  </si>
  <si>
    <t>3.3 ДЗПО  2,8% Х 201,90лв.</t>
  </si>
  <si>
    <t xml:space="preserve">ВСИЧКО:                                                           45,76 lt. Х 3,30lv.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</si>
  <si>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157,24 ЛВ.  =</t>
    </r>
  </si>
  <si>
    <t>ДОПЪЛНИТЕЛНИ  РАЗХОДИ  120% ВЪРХУ Р.II 241,52 лв.</t>
  </si>
  <si>
    <t>МАШИНА "МАН"  СВ 92 39  ЗА  2023  ГОД.</t>
  </si>
  <si>
    <t xml:space="preserve">1.РАЗХОД  ЗА  ФРЗ  1160  : 21   = </t>
  </si>
  <si>
    <t>2.1. ДОО                     12,02% Х 55,24   =</t>
  </si>
  <si>
    <t>2.2.ЗО                             4,8%Х   55,24   =</t>
  </si>
  <si>
    <t>2.3.ДЗПО                       2,8% Х   55,24   =</t>
  </si>
  <si>
    <t>2.СУПЕР ДИЗЕЛ  -4ЧАСА Х 5  lt=20,00lt х 3,30 lv.</t>
  </si>
  <si>
    <t>3.ТРАНСПОРТ  20км х 0,1lt = 2 lt x 3,30lv.</t>
  </si>
  <si>
    <t>ДОПЪЛНИТЕЛНИ  РАЗХОДИ  120% ВЪРХУ Р.II  66,08 лв.</t>
  </si>
  <si>
    <t xml:space="preserve">      20 lt.  Х 3,30 ЛВ. =  66,00 ЛВ. : 12 М.: 21  ДНИ  =</t>
  </si>
  <si>
    <t xml:space="preserve">    - ЗА  ДОЛИВАНЕ    25%  ВЪРХУ  0,26 ЛВ.  = </t>
  </si>
  <si>
    <t xml:space="preserve">1.РАЗХОД  ЗА  ФРЗ  ОБЩО:  4210  : 21   = </t>
  </si>
  <si>
    <t>3.1. ДОО    12,02 % Х200,48 лв.</t>
  </si>
  <si>
    <t>3.2. ЗОВ     4,8% Х  200,48 лв.</t>
  </si>
  <si>
    <t>3.3 ДЗПО  2,8% Х200,48 лв.</t>
  </si>
  <si>
    <t xml:space="preserve">ВСИЧКО:                                                             68,21 lt. Х  3,30 lv  =  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</si>
  <si>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233,43 ЛВ.  =</t>
    </r>
  </si>
  <si>
    <t>ДОПЪЛНИТЕЛНИ  РАЗХОДИ  120% ВЪРХУ Р.II 239,81 лв.</t>
  </si>
  <si>
    <t xml:space="preserve">  -  ЗА  ДОЛИВАНЕ  НА  ДВИГАТЕЛЯ- НАРЕДБА  № 3 ОТ 25.09.1989 ГОД.  ЧЛ.15 Т.1</t>
  </si>
  <si>
    <t>Общо контейнери                           143</t>
  </si>
  <si>
    <t>Отчисления по наредба 7 - 7,5т х 102,19 лв. / 95+ 7,19 чл.60 и 64 ЗУО/</t>
  </si>
  <si>
    <t>Отчисления по наредба 7  7,5 т х 102,19 лв. /95+7,19 чл.60 и 64 ЗУО/</t>
  </si>
  <si>
    <t>Отчисления по наредба 7 - 6,5 т х  102,19 лв. / 95+  7,19 чл.60 и 64 ЗУО/</t>
  </si>
  <si>
    <t>Драшан                                                 23                         605,31лв.                    13922,11 лв.</t>
  </si>
  <si>
    <t>Габаре                                                  49                         605,31 лв.                   29660,19 лв.</t>
  </si>
  <si>
    <t>Враняк                                                  28                         605,31лв.                   16948,68 лв.</t>
  </si>
  <si>
    <t>Бъркачево                                            43                          605,31  лв.                26028,33 лв.</t>
  </si>
  <si>
    <t>РАЗХОД ЗА 1 БР. БОБЪР ЗА  52 ПЪТИ ГОДИШНО 88 252,98 ЛВ.: 109 БР.= 809,66 лв.</t>
  </si>
  <si>
    <t xml:space="preserve">ЦЕНА ЗА  ОБСЛУЖВАНЕ НА  ЕДИН  БОБЪР НА ДЕН 88252,98 лв. : 109 БР. : 52 дни = </t>
  </si>
  <si>
    <t xml:space="preserve">ЦЕНА ЗА  ОБСЛУЖВАНЕ НА  ЕДИН  БОБЪР  87 381,32 лв. : 138 бр. : 52 дни= </t>
  </si>
  <si>
    <t xml:space="preserve">1.РАЗХОД  ЗА  ФРЗ  ОБЩО: 4260  : 21   = </t>
  </si>
  <si>
    <t>3.1. ДОО    12,02 % Х 202,86 лв.</t>
  </si>
  <si>
    <t>3.2. ЗОВ     4,8% Х   202,86 лв.</t>
  </si>
  <si>
    <t>3.3 ДЗПО  2,8% Х  202,860 лв.</t>
  </si>
  <si>
    <t xml:space="preserve">ВСИЧКО:                                                               69,36 lt. Х  3,30 lv.  =   </t>
  </si>
  <si>
    <t xml:space="preserve">    - ЗА  ДОЛИВАНЕ    25%  ВЪРХУ  1,31 ЛВ.  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</si>
  <si>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237,32 ЛВ.  =</t>
    </r>
  </si>
  <si>
    <t>ДОПЪЛНИТЕЛНИ  РАЗХОДИ  120% ВЪРХУ Р.II  242,66 лв.</t>
  </si>
  <si>
    <t xml:space="preserve">Отчисления по наредба 7 - 7,5 т х  102,19 лв. /95+7,19 чл.60 и 64 от ЗУО/ </t>
  </si>
  <si>
    <t>АЛТИМИР                                            60                       710,58лв.                     42 634,80лв.</t>
  </si>
  <si>
    <t>ГАЛИЧЕ                                                72                      710,58 лв.                     51 161,76 лв.</t>
  </si>
  <si>
    <t xml:space="preserve">1.РАЗХОД  ЗА  ФРЗ  ОБЩО:  4260  : 21   = </t>
  </si>
  <si>
    <t>3.2. ЗОВ     4,8% Х 202,86 лв.</t>
  </si>
  <si>
    <t>3.3 ДЗПО  2,8% Х202,86лв.</t>
  </si>
  <si>
    <t>Б.СЛАТИНА -ДРАШАН                 28 КМ.                                         3 КМ                         23</t>
  </si>
  <si>
    <t xml:space="preserve">ВСИЧКО:                                                          55,84 lt. Х  3,30 lv.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</si>
  <si>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191,66 ЛВ.  =</t>
    </r>
  </si>
  <si>
    <t>ДОПЪЛНИТЕЛНИ  РАЗХОДИ  120 % ВЪРХУ Р. II  242,66 лв.</t>
  </si>
  <si>
    <t xml:space="preserve">Отчисления по наредба 7 - 6,5 т х  102,19 лв. /95+7,19 чл.60 и 64 от ЗУО/ </t>
  </si>
  <si>
    <t>Буковец                                               23                      750,39  лв.                  17259,08 лв.</t>
  </si>
  <si>
    <t>Тлачене                                               30                       750,39 лв.                   22511,70 лв.</t>
  </si>
  <si>
    <t>Комарево                                           22                         750,39лв.                   16508,58 лв.</t>
  </si>
  <si>
    <t>Соколаре                                            37                       750,39 лв.                   27764,43лв.</t>
  </si>
  <si>
    <t xml:space="preserve">ЦЕНА ЗА  ОБСЛУЖВАНЕ НА  ЕДИН  БОБЪР 84044,22 лв.: 112 БР. : 52 = </t>
  </si>
  <si>
    <t>МАШИНА "МАН"  ВР 46 27  ЗА  2023  ГОД.</t>
  </si>
  <si>
    <t>3.1. ДОО    14,02 % Х 202,86 лв.</t>
  </si>
  <si>
    <t>3.2. ЗОВ     4,8% Х  202,86 лв.</t>
  </si>
  <si>
    <t>3.3 ДЗПО  2,8% Х 202,86 лв.</t>
  </si>
  <si>
    <t>Б.СЛАТИНА -ТЪРНАК                           9 КМ.                                          15 КМ                    81</t>
  </si>
  <si>
    <t xml:space="preserve">                                                            49 КМ.              67 КМ.             25 КМ.                     131</t>
  </si>
  <si>
    <t>ТЪРНАК - БЪРДАРСКИ ГЕРАН                                 18 КМ.                 10 КМ.                      49</t>
  </si>
  <si>
    <t xml:space="preserve">ВСИЧКО:                                                             63,73 lt. Х 3,30lv.  =  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</si>
  <si>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218,34 ЛВ.  =</t>
    </r>
  </si>
  <si>
    <t>ДОПЪЛНИТЕЛНИ  РАЗХОДИ  120% ВЪРХУ Р.II  242,66 ЛВ.</t>
  </si>
  <si>
    <t>Отчисления по наредба 7 - 7.5 т х  102,19 лв. /95 + 7,19 ЧЛ. 60 И 64 ЗУО/</t>
  </si>
  <si>
    <t>БЪРДАРСКИ ГЕРАН                            49                         711,80 лв.                       34877,98ЛВ.</t>
  </si>
  <si>
    <t>ТЪРНАК                                               81                          711,80 лв.                       57655,44ЛВ.</t>
  </si>
  <si>
    <r>
      <t>ЦЕНА ЗА  ОБСЛУЖВАНЕ НА  ЕДНИН БОБЪР 92533,43 лв.: 52 дни  : 130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БР.= </t>
    </r>
  </si>
  <si>
    <t>Отчисления по наредба 7 - 7 т х 102,19 лв. / 95 + 7,19 чл. 60 и 64 ЗУО/</t>
  </si>
  <si>
    <t xml:space="preserve">  ЗА 2023 ГОД.</t>
  </si>
  <si>
    <t xml:space="preserve">1.РАЗХОД  ЗА  ФРЗ  ОБЩО:4500 ЛВ. : 21   = </t>
  </si>
  <si>
    <t>3.1. ДОО    12,02% Х 214,29</t>
  </si>
  <si>
    <t>3.2. ЗОВ     4,8 % Х214,29</t>
  </si>
  <si>
    <t>3.3. ДЗПО 2,8 % Х 214,29</t>
  </si>
  <si>
    <t xml:space="preserve">    - ЗА  ДОЛИВАНЕ    25 %  ВЪРХУ  1,31 ЛВ.  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</si>
  <si>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141,99ЛВ.  =</t>
    </r>
  </si>
  <si>
    <t>ДОПЪЛНИТЕЛНИ  РАЗХОДИ  120% ВЪРХУ Р.II  256,33 лв.</t>
  </si>
  <si>
    <t>1600  КОФИ + 171 БОБРИ /1710 КОФИ/  =  3310 КОФИ</t>
  </si>
  <si>
    <t>3310 КОФИ х  4 ПЪТИ  =  13240 : 21 ДНИ  =  630БР./ДЕН.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</si>
  <si>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75,84 лв  =</t>
    </r>
  </si>
  <si>
    <t xml:space="preserve">1.РАЗХОД  ЗА  ФРЗ 1 265  лв : 21дни </t>
  </si>
  <si>
    <t>2.1. ДОО                     12,02% Х 60,24   =</t>
  </si>
  <si>
    <t>2.2. ЗОВ                         4,8% Х 60,24     =</t>
  </si>
  <si>
    <t>2.3.ДЗПО                      2,8% Х  60,24   =</t>
  </si>
  <si>
    <t>ДОПЪЛНИТЕЛНИ  РАЗХОДИ  120 % ВЪРХУ Р.II 72,06 лв.</t>
  </si>
  <si>
    <t>ЗА  2023  ГОД.</t>
  </si>
  <si>
    <t xml:space="preserve">1.СУПЕР ДИЗЕЛ  - 6М/Ч Х3,56 lt.  =  21,36lt. Х 3,30ЛВ.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</si>
  <si>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72,74 ЛВ  =</t>
    </r>
  </si>
  <si>
    <t>1.СУПЕР ДИЗЕЛ  - 70 КМ Х 0,14 lt.  = 9,80л. Х 3,30 ЛВ.</t>
  </si>
  <si>
    <t>НОРМЕНИЯТ РАЗХОД  НА  ГОРИВО  9,8lt. Х 1 % = 0,10 lt. Х 8,00 ЛВ. = 0,80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</si>
  <si>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33,36 ЛВ  =</t>
    </r>
  </si>
  <si>
    <t xml:space="preserve">1.РАЗХОД  ЗА  ФРЗ 1150 лв. : 21дни </t>
  </si>
  <si>
    <t>3.1. ДОО                     12,02% Х 54,76 лв.   =</t>
  </si>
  <si>
    <t>3.2. ЗОВ                         4,8%   Х  54,76 лв.   =</t>
  </si>
  <si>
    <t>3.3.ДЗПО                      2,8%   Х  54,76 лв.  =</t>
  </si>
  <si>
    <t>2.ВИД  НА  ДВИГАТЕЛЯ   - БЕНЗИН</t>
  </si>
  <si>
    <t xml:space="preserve">1.РАЗХОД  ЗА  ФРЗ  1150 ЛВ : 21дни </t>
  </si>
  <si>
    <t>3.1. ДОО                     12,02% Х 54,76    =</t>
  </si>
  <si>
    <t>3.2. ЗОВ                         4,8%   Х  54,76     =</t>
  </si>
  <si>
    <t>3.3.ДЗПО                      2,8% Х   54,76    =</t>
  </si>
  <si>
    <t xml:space="preserve">  -  ЗА  ДОЛИВАНЕ  НА  ДВИГАТЕЛЯ- НАРЕДБА  № 3 ОТ 25.09.1989 ГОД.  </t>
  </si>
  <si>
    <t>1.СУПЕР ДИЗЕЛ  - 4 М/ЧАСА  Х 5,04 lt.  = 20,16 lt. Х 3,30 ЛВ. =</t>
  </si>
  <si>
    <t xml:space="preserve">0,5 %  СПРЯМООСНОВНОТО  ГОРИВО    20,16 lt.Х 0,5%  =  0,10 lt.  Х 3,30ЛВ.=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</si>
  <si>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74,07  =</t>
    </r>
  </si>
  <si>
    <t xml:space="preserve">1.РАЗХОД  ЗА  ФРЗ  ОБЩО:1023,50 лв.   : 21   = </t>
  </si>
  <si>
    <t xml:space="preserve">1.БЕНЗИН  - 100 КМ Х 0,41 l.  = 41l. Х 3,30 ЛВ. </t>
  </si>
  <si>
    <t xml:space="preserve">1% СПРЯМО НОРМЕНИЯТ РАЗХОД  НА  ГОРИВО  41Л. Х 1 % = 0,41Л. Х 8,00 ЛВ. =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</si>
  <si>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.III138,83 ЛВ  =</t>
    </r>
  </si>
  <si>
    <t>1.СУПЕР ДИЗЕЛ  - 100 КМ Х 0,253 lt.  = 25,3 lt. Х 3,30 ЛВ.</t>
  </si>
  <si>
    <t xml:space="preserve">1% СПРЯМО НОРМЕНИЯТ РАЗХОД  НА  ГОРИВО  25,3lt. Х 1 % = 0,26 lt. Х 8,00 ЛВ. 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</si>
  <si>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85,79 ЛВ  =</t>
    </r>
  </si>
  <si>
    <t>ОБОБЩЕНИ  КАЛКУЛАЦИИ  ЗА  2023  ГОД.</t>
  </si>
  <si>
    <t>4.ЕДНА  МАШИНОСМЯНА   =   5М/Ч</t>
  </si>
  <si>
    <t>1.СУПЕР ДИЗЕЛ  - 5 М/ ЧАСА Х 13,00 lt.  =  65,00lt. Х 3,30 ЛВ. =</t>
  </si>
  <si>
    <t xml:space="preserve">ОСНОВНОТО  ГОРИВО    65,00 lt. Х 0,5 %  =  0,33 lt.  Х 3,30 ЛВ.= </t>
  </si>
  <si>
    <t>БУЛДОЗЕР СЕ  ПОЛАГАТ 4%  КЪМ  ОСНОВНОТО  ГОРИВО  65,00lt х 4%= 2,60 lt х 8,00лв</t>
  </si>
  <si>
    <r>
      <t>ТЕКУЩ   РЕМОНТ      30%  Х  Р</t>
    </r>
    <r>
      <rPr>
        <b/>
        <sz val="12"/>
        <color theme="1"/>
        <rFont val="Calibri"/>
        <family val="2"/>
        <charset val="204"/>
        <scheme val="minor"/>
      </rPr>
      <t>.III  237,15  =</t>
    </r>
  </si>
  <si>
    <t xml:space="preserve">ЦЕНА  НА  ЕДИН М/ ЧАС 466,82 : 5 = </t>
  </si>
  <si>
    <t>2. РАБОТНИК  -   5 МА  х 890,00 /с вкл.клас просл. време/</t>
  </si>
  <si>
    <t xml:space="preserve">1.РАЗХОД  ЗА  ФРЗ  ОБЩО: 5535,80 лв.   : 21   = </t>
  </si>
  <si>
    <t>3.1. ДОО                     12,02 % Х  263,61    =</t>
  </si>
  <si>
    <t>3.2. ЗОВ                         4,8 %  Х    263,61   =</t>
  </si>
  <si>
    <t>3.3.ДЗПО                      2,8 %  Х   263,61   =</t>
  </si>
  <si>
    <t>ДОПЪЛНИТЕЛНИ  РАЗХОДИ  120 % ВЪРХУ Р.II  315,33 лв.</t>
  </si>
  <si>
    <t>3.1. ДОО                     12,02 % Х  266,67    =</t>
  </si>
  <si>
    <t>3.2. ЗОВ                         4,8 %  Х    266,67   =</t>
  </si>
  <si>
    <t>3.3.ДЗПО                      2,8 %  Х   266,67   =</t>
  </si>
  <si>
    <t>2. РАБОТНИК  -   3 МА  х 890,00 /с вкл.клас просл. време/</t>
  </si>
  <si>
    <t xml:space="preserve">1.РАЗХОД  ЗА  ФРЗ  3820ЛВ : 21дни </t>
  </si>
  <si>
    <t>ДОПЪЛНИТЕЛНИ  РАЗХОДИ  120% ВЪРХУ Р.II 217,59 ЛВ.</t>
  </si>
  <si>
    <t xml:space="preserve">2. РАБОТНИК  -   2 МА  х 890,00 </t>
  </si>
  <si>
    <t xml:space="preserve">1.РАЗХОД  ЗА  ФРЗ 2930 ЛВ : 21дни </t>
  </si>
  <si>
    <t>3.1. ДОО                     12,02% Х  139,52   =</t>
  </si>
  <si>
    <t>3.2. ЗОВ                         4,8% Х   139,52    =</t>
  </si>
  <si>
    <t>3.3.ДЗПО                      2,8% Х   139,52  =</t>
  </si>
  <si>
    <t>ДОПЪЛНИТЕЛНИ  РАЗХОДИ  120% ВЪРХУ Р.II 166,90 ЛВ.</t>
  </si>
  <si>
    <t>3.2. ЗОВ                         4,8% Х    48,74  лв.   =</t>
  </si>
  <si>
    <t>3.3.ДЗПО                      2,8% Х    48,74 лв.   =</t>
  </si>
  <si>
    <t>ДОПЪЛНИТЕЛНИ  РАЗХОДИ  120% ВЪРХУ Р.II58,30 лв.</t>
  </si>
  <si>
    <t>ЦЕНА  НА  ЕДИН ЧАС 224,55лв. : 4 часа</t>
  </si>
  <si>
    <t>3.1. ДОО                     12,02% Х48,74 лв.   =</t>
  </si>
  <si>
    <t xml:space="preserve">ГОДИШЕН РАЗХОД 435,75 лв. Х 126 р. дни </t>
  </si>
  <si>
    <t>ГОДИШЕН РАЗХОД 1 680,41 Х 52 дни</t>
  </si>
  <si>
    <t>ГОДИШЕН РАЗХОД 1 697,17 Х 52 дни</t>
  </si>
  <si>
    <t>ГОДИШЕН РАЗХОД 1664,60  Х 52 дни</t>
  </si>
  <si>
    <t>ГОДИШЕН РАЗХОД 1803,78 Х 52 дни</t>
  </si>
  <si>
    <t>ГОДИШЕН РАЗХОД 1 616,23 Х 52 дни</t>
  </si>
  <si>
    <t>ГОДИШЕН РАЗХОД 1 779,49лв. Х 52 дни</t>
  </si>
  <si>
    <t>ГОДИШЕН РАЗХОД 1646,19 Х 249д</t>
  </si>
  <si>
    <t>ГОДИШЕН РАЗХОД  243,96  лв. Х 147 д.</t>
  </si>
  <si>
    <t xml:space="preserve">ГОДИШЕН РАЗХОД 466,82 лв.  Х 126 р. дни </t>
  </si>
  <si>
    <t xml:space="preserve">ГОДИШЕН РАЗХОД  410,54 ЛВ. Х 126 Р. ДНИ </t>
  </si>
  <si>
    <t>ГОДИШЕН РАЗХОД  214,15 лв. Х 84 р. дни</t>
  </si>
  <si>
    <t xml:space="preserve">ГОДИШЕН РАЗХОД 299,37  ЛВ. Х 63 Р. ДНИ </t>
  </si>
  <si>
    <t xml:space="preserve">ГОДИШЕН РАЗХОД  224,56лв. Х 84 р. дни </t>
  </si>
  <si>
    <t xml:space="preserve">ГОДИШЕН РАЗХОД  590,23 ЛВ. Х 210Р. ДНИ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</si>
</sst>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лв.&quot;;[Red]\-#,##0\ &quot;лв.&quot;"/>
    <numFmt numFmtId="8" formatCode="#,##0.00\ &quot;лв.&quot;;[Red]\-#,##0.00\ &quot;лв.&quot;"/>
    <numFmt numFmtId="164" formatCode="#,##0.00\ &quot;лв.&quot;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/>
    <xf numFmtId="164" fontId="0" fillId="0" borderId="3" xfId="0" applyNumberForma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0" fillId="0" borderId="0" xfId="0" applyNumberFormat="1"/>
    <xf numFmtId="164" fontId="1" fillId="0" borderId="3" xfId="0" applyNumberFormat="1" applyFont="1" applyBorder="1"/>
    <xf numFmtId="10" fontId="0" fillId="0" borderId="3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0" fillId="0" borderId="3" xfId="0" applyFont="1" applyBorder="1"/>
    <xf numFmtId="164" fontId="0" fillId="0" borderId="3" xfId="0" applyNumberFormat="1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6" fillId="0" borderId="0" xfId="0" applyFont="1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Fill="1" applyBorder="1"/>
    <xf numFmtId="164" fontId="7" fillId="0" borderId="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/>
    <xf numFmtId="0" fontId="6" fillId="0" borderId="0" xfId="0" applyFont="1" applyAlignment="1">
      <alignment horizontal="center"/>
    </xf>
    <xf numFmtId="0" fontId="0" fillId="2" borderId="3" xfId="0" applyFill="1" applyBorder="1"/>
    <xf numFmtId="0" fontId="1" fillId="2" borderId="0" xfId="0" applyFont="1" applyFill="1" applyBorder="1"/>
    <xf numFmtId="0" fontId="0" fillId="2" borderId="0" xfId="0" applyFill="1"/>
    <xf numFmtId="0" fontId="6" fillId="0" borderId="0" xfId="0" applyFont="1" applyAlignment="1">
      <alignment horizontal="center"/>
    </xf>
    <xf numFmtId="164" fontId="0" fillId="0" borderId="0" xfId="0" applyNumberFormat="1" applyBorder="1"/>
    <xf numFmtId="0" fontId="1" fillId="0" borderId="4" xfId="0" applyFont="1" applyBorder="1"/>
    <xf numFmtId="0" fontId="2" fillId="0" borderId="0" xfId="0" applyFont="1" applyBorder="1"/>
    <xf numFmtId="0" fontId="3" fillId="0" borderId="0" xfId="0" applyFont="1"/>
    <xf numFmtId="1" fontId="8" fillId="0" borderId="0" xfId="0" applyNumberFormat="1" applyFont="1"/>
    <xf numFmtId="0" fontId="0" fillId="3" borderId="0" xfId="0" applyFill="1"/>
    <xf numFmtId="0" fontId="3" fillId="0" borderId="3" xfId="0" applyFont="1" applyBorder="1"/>
    <xf numFmtId="164" fontId="1" fillId="0" borderId="0" xfId="0" applyNumberFormat="1" applyFont="1" applyBorder="1"/>
    <xf numFmtId="0" fontId="3" fillId="0" borderId="4" xfId="0" applyFont="1" applyBorder="1" applyAlignment="1">
      <alignment horizontal="right"/>
    </xf>
    <xf numFmtId="0" fontId="14" fillId="0" borderId="0" xfId="0" applyFont="1"/>
    <xf numFmtId="0" fontId="15" fillId="0" borderId="0" xfId="0" applyFont="1" applyFill="1" applyBorder="1"/>
    <xf numFmtId="0" fontId="15" fillId="2" borderId="0" xfId="0" applyFont="1" applyFill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applyFont="1" applyFill="1" applyBorder="1"/>
    <xf numFmtId="0" fontId="6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3" xfId="0" applyFont="1" applyBorder="1"/>
    <xf numFmtId="0" fontId="2" fillId="0" borderId="0" xfId="0" applyFont="1"/>
    <xf numFmtId="164" fontId="0" fillId="0" borderId="3" xfId="0" applyNumberFormat="1" applyBorder="1"/>
    <xf numFmtId="0" fontId="3" fillId="0" borderId="3" xfId="0" applyFont="1" applyBorder="1" applyAlignment="1">
      <alignment horizontal="right"/>
    </xf>
    <xf numFmtId="164" fontId="0" fillId="0" borderId="0" xfId="0" applyNumberFormat="1"/>
    <xf numFmtId="164" fontId="1" fillId="0" borderId="3" xfId="0" applyNumberFormat="1" applyFont="1" applyBorder="1"/>
    <xf numFmtId="10" fontId="0" fillId="0" borderId="3" xfId="0" applyNumberFormat="1" applyBorder="1"/>
    <xf numFmtId="0" fontId="1" fillId="0" borderId="0" xfId="0" applyFont="1" applyFill="1" applyBorder="1"/>
    <xf numFmtId="4" fontId="8" fillId="0" borderId="0" xfId="0" applyNumberFormat="1" applyFont="1"/>
    <xf numFmtId="6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0" fillId="0" borderId="9" xfId="0" applyFont="1" applyBorder="1"/>
    <xf numFmtId="0" fontId="8" fillId="0" borderId="9" xfId="0" applyFont="1" applyBorder="1"/>
    <xf numFmtId="0" fontId="1" fillId="0" borderId="9" xfId="0" applyFont="1" applyFill="1" applyBorder="1"/>
    <xf numFmtId="8" fontId="0" fillId="0" borderId="3" xfId="0" applyNumberFormat="1" applyBorder="1"/>
    <xf numFmtId="164" fontId="1" fillId="0" borderId="5" xfId="0" applyNumberFormat="1" applyFont="1" applyBorder="1"/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" fontId="0" fillId="0" borderId="0" xfId="0" applyNumberFormat="1"/>
    <xf numFmtId="4" fontId="0" fillId="0" borderId="0" xfId="0" applyNumberFormat="1"/>
    <xf numFmtId="4" fontId="0" fillId="0" borderId="3" xfId="0" applyNumberFormat="1" applyBorder="1"/>
    <xf numFmtId="4" fontId="1" fillId="0" borderId="0" xfId="0" applyNumberFormat="1" applyFont="1" applyFill="1" applyBorder="1"/>
    <xf numFmtId="0" fontId="7" fillId="0" borderId="3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1" fillId="2" borderId="3" xfId="0" applyNumberFormat="1" applyFont="1" applyFill="1" applyBorder="1"/>
    <xf numFmtId="2" fontId="0" fillId="0" borderId="3" xfId="0" applyNumberFormat="1" applyBorder="1"/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/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right"/>
    </xf>
    <xf numFmtId="1" fontId="13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/>
    <xf numFmtId="3" fontId="8" fillId="2" borderId="0" xfId="0" applyNumberFormat="1" applyFont="1" applyFill="1" applyAlignment="1"/>
    <xf numFmtId="1" fontId="8" fillId="2" borderId="0" xfId="0" applyNumberFormat="1" applyFont="1" applyFill="1"/>
    <xf numFmtId="0" fontId="1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3" xfId="0" applyFont="1" applyBorder="1"/>
    <xf numFmtId="4" fontId="0" fillId="2" borderId="3" xfId="0" applyNumberFormat="1" applyFill="1" applyBorder="1"/>
    <xf numFmtId="2" fontId="0" fillId="0" borderId="0" xfId="0" applyNumberFormat="1"/>
    <xf numFmtId="4" fontId="0" fillId="2" borderId="5" xfId="0" applyNumberFormat="1" applyFill="1" applyBorder="1"/>
    <xf numFmtId="164" fontId="1" fillId="2" borderId="5" xfId="0" applyNumberFormat="1" applyFont="1" applyFill="1" applyBorder="1"/>
    <xf numFmtId="165" fontId="8" fillId="0" borderId="0" xfId="0" applyNumberFormat="1" applyFont="1"/>
    <xf numFmtId="164" fontId="0" fillId="2" borderId="3" xfId="0" applyNumberFormat="1" applyFill="1" applyBorder="1"/>
    <xf numFmtId="3" fontId="1" fillId="0" borderId="3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8" fillId="0" borderId="4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"/>
  <sheetViews>
    <sheetView topLeftCell="A10" workbookViewId="0">
      <selection activeCell="B25" sqref="B25"/>
    </sheetView>
  </sheetViews>
  <sheetFormatPr defaultRowHeight="15.75" x14ac:dyDescent="0.25"/>
  <cols>
    <col min="1" max="1" width="7.7109375" style="8" customWidth="1"/>
    <col min="2" max="2" width="74.7109375" customWidth="1"/>
    <col min="3" max="3" width="15.28515625" customWidth="1"/>
    <col min="9" max="9" width="9.85546875" customWidth="1"/>
    <col min="10" max="10" width="16" customWidth="1"/>
    <col min="14" max="14" width="9.140625" style="1"/>
  </cols>
  <sheetData/>
  <pageMargins left="0.7" right="0.7" top="0.75" bottom="0.75" header="0.3" footer="0.3"/>
  <pageSetup paperSize="9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opLeftCell="A43" zoomScaleNormal="100" workbookViewId="0">
      <selection activeCell="B54" sqref="B54"/>
    </sheetView>
  </sheetViews>
  <sheetFormatPr defaultRowHeight="15" x14ac:dyDescent="0.25"/>
  <cols>
    <col min="2" max="2" width="72.5703125" customWidth="1"/>
    <col min="3" max="3" width="18" customWidth="1"/>
    <col min="4" max="4" width="14.5703125" customWidth="1"/>
    <col min="5" max="5" width="9.42578125" bestFit="1" customWidth="1"/>
  </cols>
  <sheetData>
    <row r="2" spans="1:3" ht="15.75" x14ac:dyDescent="0.25">
      <c r="A2" s="8"/>
      <c r="B2" s="35" t="s">
        <v>85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  <c r="C4" s="55"/>
    </row>
    <row r="5" spans="1:3" ht="18.75" x14ac:dyDescent="0.3">
      <c r="A5" s="8"/>
      <c r="B5" s="18"/>
    </row>
    <row r="6" spans="1:3" x14ac:dyDescent="0.25">
      <c r="A6" s="126" t="s">
        <v>35</v>
      </c>
      <c r="B6" s="126"/>
      <c r="C6" s="126"/>
    </row>
    <row r="7" spans="1:3" ht="16.5" thickBot="1" x14ac:dyDescent="0.3">
      <c r="A7" s="132" t="s">
        <v>252</v>
      </c>
      <c r="B7" s="132"/>
      <c r="C7" s="132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63" t="s">
        <v>6</v>
      </c>
      <c r="C11" s="67"/>
    </row>
    <row r="12" spans="1:3" ht="15.75" x14ac:dyDescent="0.25">
      <c r="A12" s="6"/>
      <c r="B12" s="63" t="s">
        <v>60</v>
      </c>
      <c r="C12" s="67"/>
    </row>
    <row r="13" spans="1:3" ht="15.75" x14ac:dyDescent="0.25">
      <c r="A13" s="6"/>
      <c r="B13" s="63" t="s">
        <v>7</v>
      </c>
      <c r="C13" s="67"/>
    </row>
    <row r="14" spans="1:3" ht="15.75" x14ac:dyDescent="0.25">
      <c r="A14" s="6"/>
      <c r="B14" s="63" t="s">
        <v>8</v>
      </c>
      <c r="C14" s="67"/>
    </row>
    <row r="15" spans="1:3" ht="15.75" x14ac:dyDescent="0.25">
      <c r="A15" s="14" t="s">
        <v>10</v>
      </c>
      <c r="B15" s="64" t="s">
        <v>56</v>
      </c>
      <c r="C15" s="70"/>
    </row>
    <row r="16" spans="1:3" ht="15.75" x14ac:dyDescent="0.25">
      <c r="A16" s="6"/>
      <c r="B16" s="63" t="s">
        <v>11</v>
      </c>
      <c r="C16" s="70">
        <f>SUM(C17+C26)</f>
        <v>256.32857142857142</v>
      </c>
    </row>
    <row r="17" spans="1:3" ht="15.75" x14ac:dyDescent="0.25">
      <c r="A17" s="6"/>
      <c r="B17" s="63" t="s">
        <v>355</v>
      </c>
      <c r="C17" s="70">
        <f>SUM(C18+C22)/21</f>
        <v>214.28571428571428</v>
      </c>
    </row>
    <row r="18" spans="1:3" ht="15.75" x14ac:dyDescent="0.25">
      <c r="A18" s="6"/>
      <c r="B18" s="63" t="s">
        <v>58</v>
      </c>
      <c r="C18" s="67">
        <f>SUM(C19:C20)</f>
        <v>1440</v>
      </c>
    </row>
    <row r="19" spans="1:3" ht="15.75" x14ac:dyDescent="0.25">
      <c r="A19" s="6"/>
      <c r="B19" s="63" t="s">
        <v>13</v>
      </c>
      <c r="C19" s="67">
        <v>1000</v>
      </c>
    </row>
    <row r="20" spans="1:3" ht="15.75" x14ac:dyDescent="0.25">
      <c r="A20" s="6"/>
      <c r="B20" s="71" t="s">
        <v>14</v>
      </c>
      <c r="C20" s="67">
        <v>440</v>
      </c>
    </row>
    <row r="21" spans="1:3" ht="15.75" x14ac:dyDescent="0.25">
      <c r="A21" s="6"/>
      <c r="B21" s="63" t="s">
        <v>194</v>
      </c>
      <c r="C21" s="70">
        <v>440</v>
      </c>
    </row>
    <row r="22" spans="1:3" ht="15.75" x14ac:dyDescent="0.25">
      <c r="A22" s="6"/>
      <c r="B22" s="63" t="s">
        <v>38</v>
      </c>
      <c r="C22" s="67">
        <f>SUM(C23:C24)</f>
        <v>3060</v>
      </c>
    </row>
    <row r="23" spans="1:3" ht="15.75" x14ac:dyDescent="0.25">
      <c r="A23" s="6"/>
      <c r="B23" s="63" t="s">
        <v>15</v>
      </c>
      <c r="C23" s="67">
        <v>2550</v>
      </c>
    </row>
    <row r="24" spans="1:3" ht="15.75" x14ac:dyDescent="0.25">
      <c r="A24" s="6"/>
      <c r="B24" s="71" t="s">
        <v>16</v>
      </c>
      <c r="C24" s="70">
        <v>510</v>
      </c>
    </row>
    <row r="25" spans="1:3" ht="15.75" x14ac:dyDescent="0.25">
      <c r="A25" s="6"/>
      <c r="B25" s="63" t="s">
        <v>185</v>
      </c>
      <c r="C25" s="25">
        <v>510</v>
      </c>
    </row>
    <row r="26" spans="1:3" ht="15.75" x14ac:dyDescent="0.25">
      <c r="A26" s="6"/>
      <c r="B26" s="63" t="s">
        <v>17</v>
      </c>
      <c r="C26" s="70">
        <f>SUM(C27:C30)</f>
        <v>42.042857142857137</v>
      </c>
    </row>
    <row r="27" spans="1:3" ht="15.75" x14ac:dyDescent="0.25">
      <c r="A27" s="6"/>
      <c r="B27" s="63" t="s">
        <v>356</v>
      </c>
      <c r="C27" s="67">
        <f>SUM(C17*12.02)/100</f>
        <v>25.757142857142853</v>
      </c>
    </row>
    <row r="28" spans="1:3" ht="15.75" x14ac:dyDescent="0.25">
      <c r="A28" s="6"/>
      <c r="B28" s="63" t="s">
        <v>357</v>
      </c>
      <c r="C28" s="67">
        <f>SUM(C17*4.8)/100</f>
        <v>10.285714285714285</v>
      </c>
    </row>
    <row r="29" spans="1:3" ht="15.75" hidden="1" x14ac:dyDescent="0.25">
      <c r="A29" s="6"/>
      <c r="B29" s="4"/>
      <c r="C29" s="12"/>
    </row>
    <row r="30" spans="1:3" s="62" customFormat="1" ht="15.75" x14ac:dyDescent="0.25">
      <c r="A30" s="65"/>
      <c r="B30" s="63" t="s">
        <v>358</v>
      </c>
      <c r="C30" s="67">
        <f>SUM(C17*2.8)/100</f>
        <v>5.9999999999999991</v>
      </c>
    </row>
    <row r="31" spans="1:3" ht="15.75" x14ac:dyDescent="0.25">
      <c r="A31" s="14" t="s">
        <v>1</v>
      </c>
      <c r="B31" s="5" t="s">
        <v>18</v>
      </c>
      <c r="C31" s="16">
        <f>C36+C37</f>
        <v>141.99</v>
      </c>
    </row>
    <row r="32" spans="1:3" ht="15.75" x14ac:dyDescent="0.25">
      <c r="A32" s="14"/>
      <c r="B32" s="24" t="s">
        <v>52</v>
      </c>
      <c r="C32" s="16"/>
    </row>
    <row r="33" spans="1:3" ht="15.75" x14ac:dyDescent="0.25">
      <c r="A33" s="6"/>
      <c r="B33" s="4" t="s">
        <v>47</v>
      </c>
      <c r="C33" s="12"/>
    </row>
    <row r="34" spans="1:3" ht="15.75" x14ac:dyDescent="0.25">
      <c r="A34" s="6"/>
      <c r="B34" s="4" t="s">
        <v>115</v>
      </c>
      <c r="C34" s="12"/>
    </row>
    <row r="35" spans="1:3" ht="15.75" x14ac:dyDescent="0.25">
      <c r="A35" s="6"/>
      <c r="B35" s="4" t="s">
        <v>116</v>
      </c>
      <c r="C35" s="12"/>
    </row>
    <row r="36" spans="1:3" ht="15.75" x14ac:dyDescent="0.25">
      <c r="A36" s="6"/>
      <c r="B36" s="4" t="s">
        <v>251</v>
      </c>
      <c r="C36" s="16">
        <v>135.80000000000001</v>
      </c>
    </row>
    <row r="37" spans="1:3" ht="15.75" x14ac:dyDescent="0.25">
      <c r="A37" s="6"/>
      <c r="B37" s="4" t="s">
        <v>19</v>
      </c>
      <c r="C37" s="16">
        <f>C40+C43+C45+C47</f>
        <v>6.1899999999999995</v>
      </c>
    </row>
    <row r="38" spans="1:3" ht="15.75" x14ac:dyDescent="0.25">
      <c r="A38" s="6"/>
      <c r="B38" s="4" t="s">
        <v>303</v>
      </c>
      <c r="C38" s="12"/>
    </row>
    <row r="39" spans="1:3" ht="15.75" x14ac:dyDescent="0.25">
      <c r="A39" s="6"/>
      <c r="B39" s="4" t="s">
        <v>20</v>
      </c>
      <c r="C39" s="12"/>
    </row>
    <row r="40" spans="1:3" ht="15.75" x14ac:dyDescent="0.25">
      <c r="A40" s="6"/>
      <c r="B40" s="4" t="s">
        <v>117</v>
      </c>
      <c r="C40" s="12">
        <v>3.28</v>
      </c>
    </row>
    <row r="41" spans="1:3" ht="15.75" x14ac:dyDescent="0.25">
      <c r="A41" s="6"/>
      <c r="B41" s="4" t="s">
        <v>21</v>
      </c>
      <c r="C41" s="12"/>
    </row>
    <row r="42" spans="1:3" ht="15.75" x14ac:dyDescent="0.25">
      <c r="A42" s="6"/>
      <c r="B42" s="4" t="s">
        <v>22</v>
      </c>
      <c r="C42" s="12"/>
    </row>
    <row r="43" spans="1:3" ht="15.75" x14ac:dyDescent="0.25">
      <c r="A43" s="6"/>
      <c r="B43" s="4" t="s">
        <v>103</v>
      </c>
      <c r="C43" s="12">
        <v>1.27</v>
      </c>
    </row>
    <row r="44" spans="1:3" ht="15.75" x14ac:dyDescent="0.25">
      <c r="A44" s="6"/>
      <c r="B44" s="4" t="s">
        <v>23</v>
      </c>
      <c r="C44" s="12"/>
    </row>
    <row r="45" spans="1:3" ht="15.75" x14ac:dyDescent="0.25">
      <c r="A45" s="6"/>
      <c r="B45" s="4" t="s">
        <v>359</v>
      </c>
      <c r="C45" s="12">
        <v>0.33</v>
      </c>
    </row>
    <row r="46" spans="1:3" ht="15.75" x14ac:dyDescent="0.25">
      <c r="A46" s="6"/>
      <c r="B46" s="4" t="s">
        <v>24</v>
      </c>
      <c r="C46" s="12"/>
    </row>
    <row r="47" spans="1:3" ht="15.75" x14ac:dyDescent="0.25">
      <c r="A47" s="6"/>
      <c r="B47" s="4" t="s">
        <v>274</v>
      </c>
      <c r="C47" s="12">
        <v>1.31</v>
      </c>
    </row>
    <row r="48" spans="1:3" ht="15.75" x14ac:dyDescent="0.25">
      <c r="A48" s="14" t="s">
        <v>25</v>
      </c>
      <c r="B48" s="5" t="s">
        <v>360</v>
      </c>
      <c r="C48" s="16">
        <f>SUM(C31*0.3)</f>
        <v>42.597000000000001</v>
      </c>
    </row>
    <row r="49" spans="1:5" ht="15.75" x14ac:dyDescent="0.25">
      <c r="A49" s="14" t="s">
        <v>26</v>
      </c>
      <c r="B49" s="5" t="s">
        <v>361</v>
      </c>
      <c r="C49" s="16">
        <f>SUM(C16*1.2)</f>
        <v>307.59428571428572</v>
      </c>
    </row>
    <row r="50" spans="1:5" ht="15.75" x14ac:dyDescent="0.25">
      <c r="A50" s="14" t="s">
        <v>27</v>
      </c>
      <c r="B50" s="5" t="s">
        <v>42</v>
      </c>
      <c r="C50" s="16">
        <f>SUM(C16+C31+C48+C49)</f>
        <v>748.50985714285707</v>
      </c>
    </row>
    <row r="51" spans="1:5" s="62" customFormat="1" ht="15.75" x14ac:dyDescent="0.25">
      <c r="A51" s="68" t="s">
        <v>28</v>
      </c>
      <c r="B51" s="64" t="s">
        <v>353</v>
      </c>
      <c r="C51" s="94">
        <v>715.33</v>
      </c>
    </row>
    <row r="52" spans="1:5" ht="15.75" x14ac:dyDescent="0.25">
      <c r="A52" s="68" t="s">
        <v>29</v>
      </c>
      <c r="B52" s="64" t="s">
        <v>193</v>
      </c>
      <c r="C52" s="70">
        <v>182.35</v>
      </c>
    </row>
    <row r="53" spans="1:5" ht="15.75" x14ac:dyDescent="0.25">
      <c r="A53" s="68" t="s">
        <v>33</v>
      </c>
      <c r="B53" s="5" t="s">
        <v>43</v>
      </c>
      <c r="C53" s="16">
        <f>SUM(C50:C52)</f>
        <v>1646.1898571428569</v>
      </c>
    </row>
    <row r="54" spans="1:5" ht="18.75" x14ac:dyDescent="0.3">
      <c r="A54" s="68" t="s">
        <v>34</v>
      </c>
      <c r="B54" s="58" t="s">
        <v>433</v>
      </c>
      <c r="C54" s="59">
        <f>SUM(C53*249)</f>
        <v>409901.27442857134</v>
      </c>
    </row>
    <row r="55" spans="1:5" ht="15.75" x14ac:dyDescent="0.25">
      <c r="A55" s="14"/>
      <c r="B55" s="5"/>
      <c r="C55" s="16"/>
    </row>
    <row r="56" spans="1:5" ht="18.75" x14ac:dyDescent="0.3">
      <c r="A56" s="6"/>
      <c r="B56" s="60" t="s">
        <v>83</v>
      </c>
      <c r="C56" s="59">
        <f>C54+C55</f>
        <v>409901.27442857134</v>
      </c>
    </row>
    <row r="57" spans="1:5" ht="15.75" x14ac:dyDescent="0.25">
      <c r="A57" s="8"/>
      <c r="C57" s="15"/>
    </row>
    <row r="58" spans="1:5" ht="15.75" x14ac:dyDescent="0.25">
      <c r="A58" s="8"/>
      <c r="B58" s="22" t="s">
        <v>277</v>
      </c>
    </row>
    <row r="59" spans="1:5" ht="15.75" x14ac:dyDescent="0.25">
      <c r="A59" s="8"/>
    </row>
    <row r="60" spans="1:5" ht="15.75" x14ac:dyDescent="0.25">
      <c r="A60" s="14"/>
      <c r="B60" s="5"/>
      <c r="C60" s="85"/>
    </row>
    <row r="61" spans="1:5" s="62" customFormat="1" ht="15.75" x14ac:dyDescent="0.25">
      <c r="A61" s="68"/>
      <c r="B61" s="64"/>
      <c r="C61" s="86"/>
    </row>
    <row r="62" spans="1:5" x14ac:dyDescent="0.25">
      <c r="B62" s="56" t="s">
        <v>37</v>
      </c>
      <c r="C62" s="63" t="s">
        <v>133</v>
      </c>
      <c r="D62" s="63" t="s">
        <v>130</v>
      </c>
    </row>
    <row r="63" spans="1:5" x14ac:dyDescent="0.25">
      <c r="B63" s="56" t="s">
        <v>36</v>
      </c>
      <c r="C63" s="67">
        <f>SUM(C50+C52)*249</f>
        <v>231784.10442857142</v>
      </c>
      <c r="D63" s="120">
        <f>SUM(C51*249)</f>
        <v>178117.17</v>
      </c>
      <c r="E63" s="116"/>
    </row>
    <row r="64" spans="1:5" x14ac:dyDescent="0.25">
      <c r="B64" s="56" t="s">
        <v>61</v>
      </c>
    </row>
    <row r="65" spans="2:3" x14ac:dyDescent="0.25">
      <c r="B65" s="56" t="s">
        <v>362</v>
      </c>
    </row>
    <row r="66" spans="2:3" x14ac:dyDescent="0.25">
      <c r="B66" s="57" t="s">
        <v>363</v>
      </c>
    </row>
    <row r="70" spans="2:3" ht="15.75" x14ac:dyDescent="0.25">
      <c r="B70" s="131" t="s">
        <v>74</v>
      </c>
      <c r="C70" s="131"/>
    </row>
  </sheetData>
  <mergeCells count="3">
    <mergeCell ref="B70:C70"/>
    <mergeCell ref="A6:C6"/>
    <mergeCell ref="A7:C7"/>
  </mergeCells>
  <pageMargins left="0.7" right="0.7" top="0.75" bottom="0.75" header="0.3" footer="0.3"/>
  <pageSetup paperSize="9" scale="66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opLeftCell="A28" zoomScale="120" zoomScaleNormal="120" workbookViewId="0">
      <selection activeCell="B44" sqref="B44"/>
    </sheetView>
  </sheetViews>
  <sheetFormatPr defaultRowHeight="15" x14ac:dyDescent="0.25"/>
  <cols>
    <col min="2" max="2" width="72.7109375" customWidth="1"/>
    <col min="3" max="3" width="18.7109375" customWidth="1"/>
  </cols>
  <sheetData>
    <row r="1" spans="1:3" ht="15.75" x14ac:dyDescent="0.25">
      <c r="A1" s="8"/>
    </row>
    <row r="2" spans="1:3" ht="15.75" x14ac:dyDescent="0.25">
      <c r="A2" s="8"/>
      <c r="B2" s="35" t="s">
        <v>85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</row>
    <row r="5" spans="1:3" ht="15.75" x14ac:dyDescent="0.25">
      <c r="A5" s="8"/>
      <c r="B5" s="126" t="s">
        <v>62</v>
      </c>
      <c r="C5" s="126"/>
    </row>
    <row r="6" spans="1:3" ht="16.5" thickBot="1" x14ac:dyDescent="0.3">
      <c r="A6" s="8"/>
      <c r="B6" s="126" t="s">
        <v>217</v>
      </c>
      <c r="C6" s="126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5" t="s">
        <v>6</v>
      </c>
      <c r="C9" s="12"/>
    </row>
    <row r="10" spans="1:3" ht="15.75" x14ac:dyDescent="0.25">
      <c r="A10" s="6"/>
      <c r="B10" s="4" t="s">
        <v>63</v>
      </c>
      <c r="C10" s="12"/>
    </row>
    <row r="11" spans="1:3" ht="15.75" x14ac:dyDescent="0.25">
      <c r="A11" s="6"/>
      <c r="B11" s="4" t="s">
        <v>7</v>
      </c>
      <c r="C11" s="12"/>
    </row>
    <row r="12" spans="1:3" ht="15.75" x14ac:dyDescent="0.25">
      <c r="A12" s="6"/>
      <c r="B12" s="4" t="s">
        <v>8</v>
      </c>
      <c r="C12" s="12"/>
    </row>
    <row r="13" spans="1:3" ht="15.75" x14ac:dyDescent="0.25">
      <c r="A13" s="6"/>
      <c r="B13" s="4" t="s">
        <v>64</v>
      </c>
      <c r="C13" s="12"/>
    </row>
    <row r="14" spans="1:3" ht="15.75" x14ac:dyDescent="0.25">
      <c r="A14" s="14" t="s">
        <v>10</v>
      </c>
      <c r="B14" s="5" t="s">
        <v>11</v>
      </c>
      <c r="C14" s="16">
        <f>SUM(C15+C20)</f>
        <v>66.075809523809525</v>
      </c>
    </row>
    <row r="15" spans="1:3" ht="15.75" x14ac:dyDescent="0.25">
      <c r="A15" s="6"/>
      <c r="B15" s="63" t="s">
        <v>287</v>
      </c>
      <c r="C15" s="16">
        <f>SUM(C16/21)</f>
        <v>55.238095238095241</v>
      </c>
    </row>
    <row r="16" spans="1:3" ht="15.75" x14ac:dyDescent="0.25">
      <c r="A16" s="6"/>
      <c r="B16" s="4" t="s">
        <v>58</v>
      </c>
      <c r="C16" s="16">
        <f>SUM(C17:C18)</f>
        <v>1160</v>
      </c>
    </row>
    <row r="17" spans="1:3" ht="15.75" x14ac:dyDescent="0.25">
      <c r="A17" s="6"/>
      <c r="B17" s="4" t="s">
        <v>13</v>
      </c>
      <c r="C17" s="12">
        <v>1000</v>
      </c>
    </row>
    <row r="18" spans="1:3" ht="15.75" x14ac:dyDescent="0.25">
      <c r="A18" s="6"/>
      <c r="B18" s="4" t="s">
        <v>14</v>
      </c>
      <c r="C18" s="12">
        <f>SUM(C19)</f>
        <v>160</v>
      </c>
    </row>
    <row r="19" spans="1:3" ht="15.75" x14ac:dyDescent="0.25">
      <c r="A19" s="6"/>
      <c r="B19" s="71" t="s">
        <v>195</v>
      </c>
      <c r="C19" s="12">
        <v>160</v>
      </c>
    </row>
    <row r="20" spans="1:3" ht="15.75" x14ac:dyDescent="0.25">
      <c r="A20" s="6"/>
      <c r="B20" s="4" t="s">
        <v>65</v>
      </c>
      <c r="C20" s="16">
        <f>SUM(C21:C23)</f>
        <v>10.837714285714286</v>
      </c>
    </row>
    <row r="21" spans="1:3" ht="15.75" x14ac:dyDescent="0.25">
      <c r="A21" s="6"/>
      <c r="B21" s="63" t="s">
        <v>288</v>
      </c>
      <c r="C21" s="67">
        <f>SUM(C15*12.02%)</f>
        <v>6.639619047619048</v>
      </c>
    </row>
    <row r="22" spans="1:3" ht="15.75" x14ac:dyDescent="0.25">
      <c r="A22" s="6"/>
      <c r="B22" s="63" t="s">
        <v>289</v>
      </c>
      <c r="C22" s="67">
        <f>SUM(C15*4.8%)</f>
        <v>2.6514285714285717</v>
      </c>
    </row>
    <row r="23" spans="1:3" ht="15.75" x14ac:dyDescent="0.25">
      <c r="A23" s="6"/>
      <c r="B23" s="63" t="s">
        <v>290</v>
      </c>
      <c r="C23" s="67">
        <f>SUM(C15*2.8%)</f>
        <v>1.5466666666666666</v>
      </c>
    </row>
    <row r="24" spans="1:3" ht="15.75" x14ac:dyDescent="0.25">
      <c r="A24" s="14" t="s">
        <v>1</v>
      </c>
      <c r="B24" s="5" t="s">
        <v>18</v>
      </c>
      <c r="C24" s="16">
        <f>C25+C28</f>
        <v>75.839999999999989</v>
      </c>
    </row>
    <row r="25" spans="1:3" ht="15.75" x14ac:dyDescent="0.25">
      <c r="A25" s="14"/>
      <c r="B25" s="5" t="s">
        <v>55</v>
      </c>
      <c r="C25" s="16">
        <f>C26+C27</f>
        <v>72.599999999999994</v>
      </c>
    </row>
    <row r="26" spans="1:3" ht="15.75" x14ac:dyDescent="0.25">
      <c r="A26" s="6"/>
      <c r="B26" s="4" t="s">
        <v>291</v>
      </c>
      <c r="C26" s="12">
        <v>66</v>
      </c>
    </row>
    <row r="27" spans="1:3" ht="15.75" x14ac:dyDescent="0.25">
      <c r="A27" s="6"/>
      <c r="B27" s="4" t="s">
        <v>292</v>
      </c>
      <c r="C27" s="12">
        <v>6.6</v>
      </c>
    </row>
    <row r="28" spans="1:3" ht="15.75" x14ac:dyDescent="0.25">
      <c r="A28" s="6"/>
      <c r="B28" s="4" t="s">
        <v>19</v>
      </c>
      <c r="C28" s="16">
        <f>C31+C34+C37+C38</f>
        <v>3.2399999999999998</v>
      </c>
    </row>
    <row r="29" spans="1:3" ht="15.75" x14ac:dyDescent="0.25">
      <c r="A29" s="6"/>
      <c r="B29" s="4" t="s">
        <v>303</v>
      </c>
      <c r="C29" s="12"/>
    </row>
    <row r="30" spans="1:3" ht="15.75" x14ac:dyDescent="0.25">
      <c r="A30" s="6"/>
      <c r="B30" s="4" t="s">
        <v>20</v>
      </c>
      <c r="C30" s="12"/>
    </row>
    <row r="31" spans="1:3" ht="15.75" x14ac:dyDescent="0.25">
      <c r="A31" s="6"/>
      <c r="B31" s="4" t="s">
        <v>127</v>
      </c>
      <c r="C31" s="12">
        <v>2.72</v>
      </c>
    </row>
    <row r="32" spans="1:3" ht="15.75" x14ac:dyDescent="0.25">
      <c r="A32" s="6"/>
      <c r="B32" s="4" t="s">
        <v>21</v>
      </c>
      <c r="C32" s="12"/>
    </row>
    <row r="33" spans="1:3" ht="15.75" x14ac:dyDescent="0.25">
      <c r="A33" s="6"/>
      <c r="B33" s="4" t="s">
        <v>22</v>
      </c>
      <c r="C33" s="12"/>
    </row>
    <row r="34" spans="1:3" ht="15.75" x14ac:dyDescent="0.25">
      <c r="A34" s="6"/>
      <c r="B34" s="4" t="s">
        <v>128</v>
      </c>
      <c r="C34" s="12">
        <v>0.19</v>
      </c>
    </row>
    <row r="35" spans="1:3" ht="15.75" x14ac:dyDescent="0.25">
      <c r="A35" s="6"/>
      <c r="B35" s="4" t="s">
        <v>23</v>
      </c>
      <c r="C35" s="12"/>
    </row>
    <row r="36" spans="1:3" ht="15.75" x14ac:dyDescent="0.25">
      <c r="A36" s="6"/>
      <c r="B36" s="4" t="s">
        <v>24</v>
      </c>
      <c r="C36" s="12"/>
    </row>
    <row r="37" spans="1:3" ht="15.75" x14ac:dyDescent="0.25">
      <c r="A37" s="6"/>
      <c r="B37" s="4" t="s">
        <v>294</v>
      </c>
      <c r="C37" s="12">
        <v>0.26</v>
      </c>
    </row>
    <row r="38" spans="1:3" ht="15.75" x14ac:dyDescent="0.25">
      <c r="A38" s="6"/>
      <c r="B38" s="4" t="s">
        <v>295</v>
      </c>
      <c r="C38" s="12">
        <v>7.0000000000000007E-2</v>
      </c>
    </row>
    <row r="39" spans="1:3" ht="15.75" x14ac:dyDescent="0.25">
      <c r="A39" s="14" t="s">
        <v>25</v>
      </c>
      <c r="B39" s="5" t="s">
        <v>364</v>
      </c>
      <c r="C39" s="16">
        <f>SUM(C24*0.3)</f>
        <v>22.751999999999995</v>
      </c>
    </row>
    <row r="40" spans="1:3" ht="15.75" x14ac:dyDescent="0.25">
      <c r="A40" s="14" t="s">
        <v>26</v>
      </c>
      <c r="B40" s="5" t="s">
        <v>293</v>
      </c>
      <c r="C40" s="16">
        <f>SUM(C14*1.2)</f>
        <v>79.290971428571424</v>
      </c>
    </row>
    <row r="41" spans="1:3" ht="15.75" x14ac:dyDescent="0.25">
      <c r="A41" s="14" t="s">
        <v>27</v>
      </c>
      <c r="B41" s="5" t="s">
        <v>30</v>
      </c>
      <c r="C41" s="16">
        <f>SUM(C14+C24+C39+C40)</f>
        <v>243.95878095238095</v>
      </c>
    </row>
    <row r="42" spans="1:3" ht="15.75" x14ac:dyDescent="0.25">
      <c r="A42" s="14"/>
      <c r="B42" s="5"/>
      <c r="C42" s="16"/>
    </row>
    <row r="43" spans="1:3" ht="15.75" x14ac:dyDescent="0.25">
      <c r="A43" s="14" t="s">
        <v>29</v>
      </c>
      <c r="B43" s="5" t="s">
        <v>87</v>
      </c>
      <c r="C43" s="16">
        <f>SUM(C41)</f>
        <v>243.95878095238095</v>
      </c>
    </row>
    <row r="44" spans="1:3" ht="15.75" x14ac:dyDescent="0.25">
      <c r="A44" s="14" t="s">
        <v>33</v>
      </c>
      <c r="B44" s="5" t="s">
        <v>434</v>
      </c>
      <c r="C44" s="134">
        <f>SUM(C43*147)</f>
        <v>35861.940799999997</v>
      </c>
    </row>
    <row r="45" spans="1:3" ht="15.75" x14ac:dyDescent="0.25">
      <c r="A45" s="14"/>
      <c r="B45" s="4"/>
      <c r="C45" s="135"/>
    </row>
    <row r="46" spans="1:3" ht="18" x14ac:dyDescent="0.35">
      <c r="A46" s="20"/>
      <c r="B46" s="1"/>
      <c r="C46" s="21"/>
    </row>
    <row r="47" spans="1:3" ht="18.75" x14ac:dyDescent="0.3">
      <c r="A47" s="20"/>
      <c r="B47" s="22" t="s">
        <v>258</v>
      </c>
      <c r="C47" s="21"/>
    </row>
    <row r="48" spans="1:3" ht="18.75" x14ac:dyDescent="0.3">
      <c r="A48" s="20"/>
      <c r="B48" s="1"/>
      <c r="C48" s="21"/>
    </row>
    <row r="49" spans="1:3" ht="18.75" x14ac:dyDescent="0.3">
      <c r="A49" s="20"/>
      <c r="B49" s="23"/>
      <c r="C49" s="21"/>
    </row>
    <row r="50" spans="1:3" ht="18.75" x14ac:dyDescent="0.3">
      <c r="A50" s="20"/>
      <c r="B50" s="23"/>
      <c r="C50" s="21"/>
    </row>
    <row r="51" spans="1:3" ht="15.75" x14ac:dyDescent="0.25">
      <c r="A51" s="20"/>
      <c r="B51" s="125" t="s">
        <v>74</v>
      </c>
      <c r="C51" s="125"/>
    </row>
    <row r="52" spans="1:3" ht="18.75" x14ac:dyDescent="0.3">
      <c r="A52" s="20"/>
      <c r="B52" s="23"/>
      <c r="C52" s="21"/>
    </row>
    <row r="53" spans="1:3" ht="15.75" x14ac:dyDescent="0.25">
      <c r="A53" s="8"/>
      <c r="C53" s="15"/>
    </row>
    <row r="54" spans="1:3" ht="15.75" x14ac:dyDescent="0.25">
      <c r="A54" s="8"/>
      <c r="B54" s="133"/>
      <c r="C54" s="133"/>
    </row>
    <row r="55" spans="1:3" ht="15.75" x14ac:dyDescent="0.25">
      <c r="A55" s="8"/>
    </row>
  </sheetData>
  <mergeCells count="5">
    <mergeCell ref="B54:C54"/>
    <mergeCell ref="B5:C5"/>
    <mergeCell ref="B51:C51"/>
    <mergeCell ref="B6:C6"/>
    <mergeCell ref="C44:C4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33" zoomScale="80" zoomScaleNormal="80" workbookViewId="0">
      <selection activeCell="J46" sqref="J46"/>
    </sheetView>
  </sheetViews>
  <sheetFormatPr defaultRowHeight="15" x14ac:dyDescent="0.25"/>
  <cols>
    <col min="2" max="2" width="9.85546875" bestFit="1" customWidth="1"/>
    <col min="8" max="8" width="16.28515625" customWidth="1"/>
    <col min="9" max="9" width="12.42578125" customWidth="1"/>
    <col min="10" max="10" width="14.7109375" customWidth="1"/>
    <col min="12" max="12" width="11.28515625" bestFit="1" customWidth="1"/>
    <col min="13" max="13" width="10.28515625" customWidth="1"/>
  </cols>
  <sheetData>
    <row r="1" spans="1:13" hidden="1" x14ac:dyDescent="0.25"/>
    <row r="3" spans="1:13" ht="18.75" x14ac:dyDescent="0.3">
      <c r="A3" s="144" t="s">
        <v>89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hidden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3" ht="18.75" x14ac:dyDescent="0.3">
      <c r="A5" s="136" t="s">
        <v>396</v>
      </c>
      <c r="B5" s="136"/>
      <c r="C5" s="136"/>
      <c r="D5" s="136"/>
      <c r="E5" s="136"/>
      <c r="F5" s="136"/>
      <c r="G5" s="136"/>
      <c r="H5" s="136"/>
      <c r="I5" s="136"/>
      <c r="J5" s="40"/>
    </row>
    <row r="6" spans="1:13" ht="18.75" x14ac:dyDescent="0.3">
      <c r="A6" s="30" t="s">
        <v>67</v>
      </c>
      <c r="B6" s="30"/>
      <c r="C6" s="30"/>
      <c r="D6" s="30"/>
      <c r="E6" s="30"/>
      <c r="F6" s="30"/>
      <c r="G6" s="30"/>
      <c r="H6" s="30"/>
      <c r="I6" s="30"/>
      <c r="J6" s="40"/>
    </row>
    <row r="7" spans="1:13" hidden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3" hidden="1" x14ac:dyDescent="0.25"/>
    <row r="9" spans="1:13" ht="18.75" x14ac:dyDescent="0.3">
      <c r="A9" s="138" t="s">
        <v>246</v>
      </c>
      <c r="B9" s="138"/>
      <c r="C9" s="138"/>
      <c r="D9" s="138"/>
      <c r="E9" s="138"/>
      <c r="F9" s="138"/>
      <c r="G9" s="138"/>
      <c r="H9" s="138"/>
      <c r="I9" s="139">
        <f>SUM('68-48'!C56)*2</f>
        <v>819802.54885714268</v>
      </c>
      <c r="J9" s="139"/>
      <c r="M9" s="75"/>
    </row>
    <row r="10" spans="1:13" ht="18.75" x14ac:dyDescent="0.3">
      <c r="A10" s="138" t="s">
        <v>165</v>
      </c>
      <c r="B10" s="138"/>
      <c r="C10" s="138"/>
      <c r="D10" s="138"/>
      <c r="E10" s="138"/>
      <c r="F10" s="138"/>
      <c r="G10" s="138"/>
      <c r="H10" s="138"/>
      <c r="I10" s="139">
        <f>SUM('драшан габаре бъркачево враняк'!C66)</f>
        <v>86559.208419047616</v>
      </c>
      <c r="J10" s="139"/>
    </row>
    <row r="11" spans="1:13" ht="18.75" x14ac:dyDescent="0.3">
      <c r="A11" s="102" t="s">
        <v>94</v>
      </c>
      <c r="B11" s="100"/>
      <c r="C11" s="100"/>
      <c r="D11" s="100"/>
      <c r="E11" s="100"/>
      <c r="F11" s="100"/>
      <c r="G11" s="100"/>
      <c r="H11" s="100"/>
      <c r="I11" s="103"/>
      <c r="J11" s="104">
        <f>SUM('драшан габаре бъркачево враняк'!C71+'драшан габаре бъркачево враняк'!D71)</f>
        <v>13922.11</v>
      </c>
    </row>
    <row r="12" spans="1:13" ht="18.75" x14ac:dyDescent="0.3">
      <c r="A12" s="102" t="s">
        <v>95</v>
      </c>
      <c r="B12" s="100"/>
      <c r="C12" s="100"/>
      <c r="D12" s="100"/>
      <c r="E12" s="100"/>
      <c r="F12" s="100"/>
      <c r="G12" s="100"/>
      <c r="H12" s="100"/>
      <c r="I12" s="103"/>
      <c r="J12" s="104">
        <v>26974.5</v>
      </c>
    </row>
    <row r="13" spans="1:13" ht="18.75" x14ac:dyDescent="0.3">
      <c r="A13" s="102" t="s">
        <v>166</v>
      </c>
      <c r="B13" s="100"/>
      <c r="C13" s="100"/>
      <c r="D13" s="100"/>
      <c r="E13" s="100"/>
      <c r="F13" s="100"/>
      <c r="G13" s="100"/>
      <c r="H13" s="100"/>
      <c r="I13" s="103"/>
      <c r="J13" s="104">
        <f>SUM('драшан габаре бъркачево враняк'!C75+'драшан габаре бъркачево враняк'!D75)</f>
        <v>16948.68</v>
      </c>
    </row>
    <row r="14" spans="1:13" ht="18.75" x14ac:dyDescent="0.3">
      <c r="A14" s="102" t="s">
        <v>167</v>
      </c>
      <c r="B14" s="100"/>
      <c r="C14" s="100"/>
      <c r="D14" s="100"/>
      <c r="E14" s="100"/>
      <c r="F14" s="100"/>
      <c r="G14" s="100"/>
      <c r="H14" s="100"/>
      <c r="I14" s="103"/>
      <c r="J14" s="104">
        <f>SUM('драшан габаре бъркачево враняк'!C76+'драшан габаре бъркачево враняк'!D76)</f>
        <v>26028.23</v>
      </c>
    </row>
    <row r="15" spans="1:13" ht="18.75" x14ac:dyDescent="0.3">
      <c r="A15" s="138" t="s">
        <v>168</v>
      </c>
      <c r="B15" s="138"/>
      <c r="C15" s="138"/>
      <c r="D15" s="138"/>
      <c r="E15" s="138"/>
      <c r="F15" s="138"/>
      <c r="G15" s="138"/>
      <c r="H15" s="138"/>
      <c r="I15" s="139">
        <f>SUM(попица!C59)</f>
        <v>88252.977676190465</v>
      </c>
      <c r="J15" s="139"/>
    </row>
    <row r="16" spans="1:13" ht="18.75" x14ac:dyDescent="0.3">
      <c r="A16" s="138" t="s">
        <v>169</v>
      </c>
      <c r="B16" s="138"/>
      <c r="C16" s="138"/>
      <c r="D16" s="138"/>
      <c r="E16" s="138"/>
      <c r="F16" s="138"/>
      <c r="G16" s="138"/>
      <c r="H16" s="138"/>
      <c r="I16" s="139">
        <f>SUM(търнава!C60)</f>
        <v>87381.454605714272</v>
      </c>
      <c r="J16" s="139"/>
    </row>
    <row r="17" spans="1:12" ht="18.75" x14ac:dyDescent="0.3">
      <c r="A17" s="138" t="s">
        <v>179</v>
      </c>
      <c r="B17" s="138"/>
      <c r="C17" s="138"/>
      <c r="D17" s="138"/>
      <c r="E17" s="138"/>
      <c r="F17" s="138"/>
      <c r="G17" s="138"/>
      <c r="H17" s="138"/>
      <c r="I17" s="139">
        <f>SUM('търнак БЪРДАРЕ'!C61)</f>
        <v>92533.426514285718</v>
      </c>
      <c r="J17" s="139"/>
    </row>
    <row r="18" spans="1:12" ht="18.75" x14ac:dyDescent="0.3">
      <c r="A18" s="102" t="s">
        <v>181</v>
      </c>
      <c r="B18" s="100"/>
      <c r="C18" s="100"/>
      <c r="D18" s="100"/>
      <c r="E18" s="100"/>
      <c r="F18" s="100"/>
      <c r="G18" s="100"/>
      <c r="H18" s="100"/>
      <c r="I18" s="104"/>
      <c r="J18" s="104">
        <f>SUM('търнак БЪРДАРЕ'!C65+'търнак БЪРДАРЕ'!D65)</f>
        <v>57655.44</v>
      </c>
    </row>
    <row r="19" spans="1:12" ht="18.75" x14ac:dyDescent="0.3">
      <c r="A19" s="102" t="s">
        <v>180</v>
      </c>
      <c r="B19" s="100"/>
      <c r="C19" s="100"/>
      <c r="D19" s="100"/>
      <c r="E19" s="100"/>
      <c r="F19" s="100"/>
      <c r="G19" s="100"/>
      <c r="H19" s="100"/>
      <c r="I19" s="104"/>
      <c r="J19" s="104">
        <f>SUM('търнак БЪРДАРЕ'!C66+'търнак БЪРДАРЕ'!D66)</f>
        <v>34877.99</v>
      </c>
    </row>
    <row r="20" spans="1:12" ht="18.75" x14ac:dyDescent="0.3">
      <c r="A20" s="138" t="s">
        <v>170</v>
      </c>
      <c r="B20" s="138"/>
      <c r="C20" s="138"/>
      <c r="D20" s="138"/>
      <c r="E20" s="138"/>
      <c r="F20" s="138"/>
      <c r="G20" s="138"/>
      <c r="H20" s="138"/>
      <c r="I20" s="139">
        <f>SUM('алтимир галиче'!C61)</f>
        <v>93796.714514285704</v>
      </c>
      <c r="J20" s="139"/>
    </row>
    <row r="21" spans="1:12" s="62" customFormat="1" ht="18.75" x14ac:dyDescent="0.3">
      <c r="A21" s="102" t="s">
        <v>171</v>
      </c>
      <c r="B21" s="100"/>
      <c r="C21" s="100"/>
      <c r="D21" s="100"/>
      <c r="E21" s="100"/>
      <c r="F21" s="100"/>
      <c r="G21" s="100"/>
      <c r="H21" s="100"/>
      <c r="I21" s="101"/>
      <c r="J21" s="104">
        <f>SUM('алтимир галиче'!C65+'алтимир галиче'!D65)</f>
        <v>42634.8</v>
      </c>
    </row>
    <row r="22" spans="1:12" s="62" customFormat="1" ht="18.75" x14ac:dyDescent="0.3">
      <c r="A22" s="102" t="s">
        <v>172</v>
      </c>
      <c r="B22" s="100"/>
      <c r="C22" s="100"/>
      <c r="D22" s="100"/>
      <c r="E22" s="100"/>
      <c r="F22" s="100"/>
      <c r="G22" s="100"/>
      <c r="H22" s="100"/>
      <c r="I22" s="101"/>
      <c r="J22" s="104">
        <f>SUM('алтимир галиче'!C66+'алтимир галиче'!D66)</f>
        <v>51161.91</v>
      </c>
    </row>
    <row r="23" spans="1:12" ht="18.75" x14ac:dyDescent="0.3">
      <c r="A23" s="138" t="s">
        <v>173</v>
      </c>
      <c r="B23" s="138"/>
      <c r="C23" s="138"/>
      <c r="D23" s="138"/>
      <c r="E23" s="138"/>
      <c r="F23" s="138"/>
      <c r="G23" s="138"/>
      <c r="H23" s="138"/>
      <c r="I23" s="139">
        <f>SUM('бук. тл.ко. сок'!C64)</f>
        <v>84044.21851428572</v>
      </c>
      <c r="J23" s="139"/>
    </row>
    <row r="24" spans="1:12" ht="18.75" x14ac:dyDescent="0.3">
      <c r="A24" s="102" t="s">
        <v>174</v>
      </c>
      <c r="B24" s="100"/>
      <c r="C24" s="100"/>
      <c r="D24" s="100"/>
      <c r="E24" s="100"/>
      <c r="F24" s="100"/>
      <c r="G24" s="100"/>
      <c r="H24" s="100"/>
      <c r="I24" s="101"/>
      <c r="J24" s="104">
        <f>SUM('бук. тл.ко. сок'!C68+'бук. тл.ко. сок'!D68)</f>
        <v>17259.080000000002</v>
      </c>
    </row>
    <row r="25" spans="1:12" ht="18.75" x14ac:dyDescent="0.3">
      <c r="A25" s="102" t="s">
        <v>175</v>
      </c>
      <c r="B25" s="100"/>
      <c r="C25" s="100"/>
      <c r="D25" s="100"/>
      <c r="E25" s="100"/>
      <c r="F25" s="100"/>
      <c r="G25" s="100"/>
      <c r="H25" s="100"/>
      <c r="I25" s="101"/>
      <c r="J25" s="104">
        <f>SUM('бук. тл.ко. сок'!C69+'бук. тл.ко. сок'!D69)</f>
        <v>22511.7</v>
      </c>
    </row>
    <row r="26" spans="1:12" ht="18.75" x14ac:dyDescent="0.3">
      <c r="A26" s="102" t="s">
        <v>176</v>
      </c>
      <c r="B26" s="100"/>
      <c r="C26" s="100"/>
      <c r="D26" s="100"/>
      <c r="E26" s="100"/>
      <c r="F26" s="100"/>
      <c r="G26" s="100"/>
      <c r="H26" s="100"/>
      <c r="I26" s="101"/>
      <c r="J26" s="104">
        <f>SUM('бук. тл.ко. сок'!C70+'бук. тл.ко. сок'!D70)</f>
        <v>16508.580000000002</v>
      </c>
    </row>
    <row r="27" spans="1:12" ht="18.75" x14ac:dyDescent="0.3">
      <c r="A27" s="102" t="s">
        <v>177</v>
      </c>
      <c r="B27" s="100"/>
      <c r="C27" s="100"/>
      <c r="D27" s="100"/>
      <c r="E27" s="100"/>
      <c r="F27" s="100"/>
      <c r="G27" s="100"/>
      <c r="H27" s="100"/>
      <c r="I27" s="101"/>
      <c r="J27" s="104">
        <f>SUM('бук. тл.ко. сок'!C71+'бук. тл.ко. сок'!D71)</f>
        <v>27764.86</v>
      </c>
      <c r="L27" s="87">
        <f>SUM(I38-L36)</f>
        <v>1352370.5491009522</v>
      </c>
    </row>
    <row r="28" spans="1:12" ht="18.75" x14ac:dyDescent="0.3">
      <c r="A28" s="138" t="s">
        <v>250</v>
      </c>
      <c r="B28" s="138"/>
      <c r="C28" s="138"/>
      <c r="D28" s="138"/>
      <c r="E28" s="138"/>
      <c r="F28" s="138"/>
      <c r="G28" s="138"/>
      <c r="H28" s="138"/>
      <c r="I28" s="139">
        <f>SUM(ЗЕТОР!C39)*2</f>
        <v>194127.53654400003</v>
      </c>
      <c r="J28" s="139"/>
    </row>
    <row r="29" spans="1:12" ht="18.75" x14ac:dyDescent="0.3">
      <c r="A29" s="138" t="s">
        <v>178</v>
      </c>
      <c r="B29" s="138"/>
      <c r="C29" s="138"/>
      <c r="D29" s="138"/>
      <c r="E29" s="138"/>
      <c r="F29" s="138"/>
      <c r="G29" s="138"/>
      <c r="H29" s="138"/>
      <c r="I29" s="139">
        <v>58819.32</v>
      </c>
      <c r="J29" s="139"/>
    </row>
    <row r="30" spans="1:12" ht="18.75" x14ac:dyDescent="0.3">
      <c r="A30" s="100" t="s">
        <v>245</v>
      </c>
      <c r="B30" s="100"/>
      <c r="C30" s="100"/>
      <c r="D30" s="100"/>
      <c r="E30" s="100"/>
      <c r="F30" s="100"/>
      <c r="G30" s="100"/>
      <c r="H30" s="100"/>
      <c r="I30" s="139">
        <f>SUM('ИВЕКО49-04'!C38)</f>
        <v>51728.599199999997</v>
      </c>
      <c r="J30" s="139"/>
    </row>
    <row r="31" spans="1:12" s="62" customFormat="1" ht="18.75" x14ac:dyDescent="0.3">
      <c r="A31" s="100" t="s">
        <v>230</v>
      </c>
      <c r="B31" s="100"/>
      <c r="C31" s="100"/>
      <c r="D31" s="100"/>
      <c r="E31" s="100"/>
      <c r="F31" s="100"/>
      <c r="G31" s="100"/>
      <c r="H31" s="100"/>
      <c r="I31" s="139">
        <f>SUM('МЕРЦЕДЕС 2437  '!C39)</f>
        <v>123949.31800000003</v>
      </c>
      <c r="J31" s="139"/>
    </row>
    <row r="32" spans="1:12" ht="18.75" x14ac:dyDescent="0.3">
      <c r="A32" s="100" t="s">
        <v>231</v>
      </c>
      <c r="B32" s="100"/>
      <c r="C32" s="100"/>
      <c r="D32" s="100"/>
      <c r="E32" s="100"/>
      <c r="F32" s="100"/>
      <c r="G32" s="100"/>
      <c r="H32" s="100"/>
      <c r="I32" s="139">
        <f>SUM(ШКОДА!C37)</f>
        <v>17988.936000000002</v>
      </c>
      <c r="J32" s="139"/>
    </row>
    <row r="33" spans="1:13" ht="18.75" x14ac:dyDescent="0.3">
      <c r="A33" s="138" t="s">
        <v>249</v>
      </c>
      <c r="B33" s="138"/>
      <c r="C33" s="138"/>
      <c r="D33" s="138"/>
      <c r="E33" s="138"/>
      <c r="F33" s="138"/>
      <c r="G33" s="138"/>
      <c r="H33" s="138"/>
      <c r="I33" s="139">
        <f>SUM(БЕЛАРУС!C41)*2</f>
        <v>88697.567599999995</v>
      </c>
      <c r="J33" s="139"/>
    </row>
    <row r="34" spans="1:13" ht="18.75" x14ac:dyDescent="0.3">
      <c r="A34" s="138" t="s">
        <v>232</v>
      </c>
      <c r="B34" s="138"/>
      <c r="C34" s="138"/>
      <c r="D34" s="138"/>
      <c r="E34" s="138"/>
      <c r="F34" s="138"/>
      <c r="G34" s="138"/>
      <c r="H34" s="138"/>
      <c r="I34" s="139">
        <f>SUM(Зил!C37)</f>
        <v>18860.121000000003</v>
      </c>
      <c r="J34" s="139"/>
    </row>
    <row r="35" spans="1:13" ht="18.75" x14ac:dyDescent="0.3">
      <c r="A35" s="100" t="s">
        <v>233</v>
      </c>
      <c r="B35" s="100"/>
      <c r="C35" s="100"/>
      <c r="D35" s="100"/>
      <c r="E35" s="100"/>
      <c r="F35" s="100"/>
      <c r="G35" s="100"/>
      <c r="H35" s="100"/>
      <c r="I35" s="101"/>
      <c r="J35" s="101">
        <f>SUM('ТК - 80'!C40)</f>
        <v>18862.37816</v>
      </c>
    </row>
    <row r="36" spans="1:13" ht="18.75" x14ac:dyDescent="0.3">
      <c r="A36" s="105" t="s">
        <v>247</v>
      </c>
      <c r="B36" s="44"/>
      <c r="C36" s="44"/>
      <c r="D36" s="44"/>
      <c r="E36" s="106"/>
      <c r="F36" s="107" t="s">
        <v>248</v>
      </c>
      <c r="G36" s="106"/>
      <c r="H36" s="44"/>
      <c r="I36" s="44"/>
      <c r="J36" s="108">
        <f>SUM(метачка!C44)*2</f>
        <v>71723.881599999993</v>
      </c>
      <c r="L36" s="87">
        <f>SUM(I28:J36)</f>
        <v>644757.65810400003</v>
      </c>
      <c r="M36" s="87"/>
    </row>
    <row r="37" spans="1:13" ht="18.75" x14ac:dyDescent="0.3">
      <c r="A37" s="100"/>
      <c r="B37" s="100"/>
      <c r="C37" s="100"/>
      <c r="D37" s="100"/>
      <c r="E37" s="100"/>
      <c r="F37" s="100"/>
      <c r="G37" s="100"/>
      <c r="H37" s="100"/>
      <c r="I37" s="101"/>
      <c r="J37" s="104"/>
    </row>
    <row r="38" spans="1:13" ht="18.75" x14ac:dyDescent="0.3">
      <c r="A38" s="109" t="s">
        <v>69</v>
      </c>
      <c r="B38" s="109"/>
      <c r="C38" s="109"/>
      <c r="D38" s="109"/>
      <c r="E38" s="109"/>
      <c r="F38" s="109"/>
      <c r="G38" s="109"/>
      <c r="H38" s="109"/>
      <c r="I38" s="140">
        <f>I9+I10+I15+I16+I17+I20+I23+I28+I29+I30+I31+I32+I33+I34+J35+J36</f>
        <v>1997128.2072049524</v>
      </c>
      <c r="J38" s="140"/>
    </row>
    <row r="39" spans="1:13" hidden="1" x14ac:dyDescent="0.25"/>
    <row r="40" spans="1:13" ht="18.75" x14ac:dyDescent="0.3">
      <c r="A40" s="11"/>
      <c r="B40" s="11"/>
      <c r="C40" s="11"/>
      <c r="D40" s="11"/>
      <c r="E40" s="11"/>
      <c r="F40" s="11"/>
      <c r="G40" s="11"/>
      <c r="I40" s="141"/>
      <c r="J40" s="141"/>
    </row>
    <row r="43" spans="1:13" ht="71.25" customHeight="1" x14ac:dyDescent="0.3">
      <c r="A43" s="29" t="s">
        <v>53</v>
      </c>
      <c r="B43" s="142" t="s">
        <v>234</v>
      </c>
      <c r="C43" s="142"/>
      <c r="D43" s="142"/>
      <c r="E43" s="142"/>
      <c r="F43" s="142"/>
      <c r="G43" s="142"/>
      <c r="H43" s="142"/>
      <c r="J43" s="29">
        <v>35000</v>
      </c>
      <c r="L43">
        <v>35000</v>
      </c>
    </row>
    <row r="44" spans="1:13" ht="18.75" hidden="1" x14ac:dyDescent="0.3">
      <c r="B44" s="29"/>
      <c r="C44" s="29"/>
      <c r="D44" s="29"/>
      <c r="E44" s="29"/>
      <c r="F44" s="29"/>
      <c r="G44" s="29"/>
      <c r="H44" s="29"/>
    </row>
    <row r="45" spans="1:13" ht="37.5" customHeight="1" x14ac:dyDescent="0.3">
      <c r="A45" s="29"/>
      <c r="B45" s="142"/>
      <c r="C45" s="142"/>
      <c r="D45" s="142"/>
      <c r="E45" s="142"/>
      <c r="F45" s="142"/>
      <c r="G45" s="142"/>
      <c r="H45" s="142"/>
      <c r="I45" s="39"/>
      <c r="J45" s="30"/>
    </row>
    <row r="46" spans="1:13" ht="34.9" customHeight="1" x14ac:dyDescent="0.3">
      <c r="A46" s="136" t="s">
        <v>70</v>
      </c>
      <c r="B46" s="137"/>
      <c r="C46" s="137"/>
      <c r="D46" s="137"/>
      <c r="E46" s="137"/>
      <c r="F46" s="29"/>
      <c r="G46" s="29"/>
      <c r="H46" s="29"/>
      <c r="J46" s="119">
        <f>I38+J43+J45</f>
        <v>2032128.2072049524</v>
      </c>
      <c r="L46" s="50">
        <f>SUM(L26:L45)</f>
        <v>2032128.2072049524</v>
      </c>
    </row>
    <row r="47" spans="1:13" ht="63" customHeight="1" x14ac:dyDescent="0.25">
      <c r="A47" s="62"/>
      <c r="B47" s="143" t="s">
        <v>235</v>
      </c>
      <c r="C47" s="143"/>
      <c r="D47" s="143"/>
      <c r="E47" s="143"/>
      <c r="F47" s="143"/>
      <c r="G47" s="143"/>
      <c r="H47" s="143"/>
      <c r="I47" s="143"/>
      <c r="J47" s="143"/>
      <c r="L47" s="116"/>
    </row>
    <row r="50" spans="10:10" x14ac:dyDescent="0.25">
      <c r="J50" s="87"/>
    </row>
  </sheetData>
  <mergeCells count="33">
    <mergeCell ref="B47:J47"/>
    <mergeCell ref="I31:J31"/>
    <mergeCell ref="I30:J30"/>
    <mergeCell ref="I32:J32"/>
    <mergeCell ref="A3:J3"/>
    <mergeCell ref="A5:I5"/>
    <mergeCell ref="A9:H9"/>
    <mergeCell ref="I9:J9"/>
    <mergeCell ref="A10:H10"/>
    <mergeCell ref="I10:J10"/>
    <mergeCell ref="A15:H15"/>
    <mergeCell ref="I15:J15"/>
    <mergeCell ref="A16:H16"/>
    <mergeCell ref="I16:J16"/>
    <mergeCell ref="A17:H17"/>
    <mergeCell ref="I17:J17"/>
    <mergeCell ref="A29:H29"/>
    <mergeCell ref="I29:J29"/>
    <mergeCell ref="A20:H20"/>
    <mergeCell ref="I20:J20"/>
    <mergeCell ref="A23:H23"/>
    <mergeCell ref="I23:J23"/>
    <mergeCell ref="A28:H28"/>
    <mergeCell ref="I28:J28"/>
    <mergeCell ref="A46:E46"/>
    <mergeCell ref="A33:H33"/>
    <mergeCell ref="I33:J33"/>
    <mergeCell ref="I38:J38"/>
    <mergeCell ref="I40:J40"/>
    <mergeCell ref="B43:H43"/>
    <mergeCell ref="B45:H45"/>
    <mergeCell ref="A34:H34"/>
    <mergeCell ref="I34:J34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A43" zoomScaleNormal="100" workbookViewId="0">
      <selection activeCell="B35" sqref="B35"/>
    </sheetView>
  </sheetViews>
  <sheetFormatPr defaultRowHeight="15" x14ac:dyDescent="0.25"/>
  <cols>
    <col min="2" max="2" width="77.85546875" customWidth="1"/>
    <col min="3" max="3" width="17.5703125" customWidth="1"/>
    <col min="5" max="5" width="12.85546875" customWidth="1"/>
  </cols>
  <sheetData>
    <row r="1" spans="1:5" ht="15.75" x14ac:dyDescent="0.25">
      <c r="A1" s="8"/>
      <c r="B1" s="19" t="s">
        <v>31</v>
      </c>
    </row>
    <row r="2" spans="1:5" ht="15.75" x14ac:dyDescent="0.25">
      <c r="A2" s="8"/>
      <c r="B2" s="7"/>
      <c r="C2" s="55"/>
    </row>
    <row r="3" spans="1:5" ht="15" customHeight="1" x14ac:dyDescent="0.3">
      <c r="A3" s="145" t="s">
        <v>32</v>
      </c>
      <c r="B3" s="145"/>
      <c r="C3" s="145"/>
    </row>
    <row r="4" spans="1:5" ht="15.75" thickBot="1" x14ac:dyDescent="0.3">
      <c r="A4" s="146" t="s">
        <v>51</v>
      </c>
      <c r="B4" s="146"/>
      <c r="C4" s="31" t="s">
        <v>354</v>
      </c>
    </row>
    <row r="5" spans="1:5" ht="15.75" x14ac:dyDescent="0.25">
      <c r="A5" s="9" t="s">
        <v>2</v>
      </c>
      <c r="B5" s="32" t="s">
        <v>4</v>
      </c>
      <c r="C5" s="2" t="s">
        <v>5</v>
      </c>
    </row>
    <row r="6" spans="1:5" ht="15.75" x14ac:dyDescent="0.25">
      <c r="A6" s="10" t="s">
        <v>3</v>
      </c>
      <c r="B6" s="3"/>
      <c r="C6" s="3"/>
    </row>
    <row r="7" spans="1:5" ht="15.75" x14ac:dyDescent="0.25">
      <c r="A7" s="14" t="s">
        <v>0</v>
      </c>
      <c r="B7" s="5" t="s">
        <v>6</v>
      </c>
      <c r="C7" s="12"/>
    </row>
    <row r="8" spans="1:5" ht="15.75" x14ac:dyDescent="0.25">
      <c r="A8" s="6"/>
      <c r="B8" s="4" t="s">
        <v>54</v>
      </c>
      <c r="C8" s="12"/>
    </row>
    <row r="9" spans="1:5" ht="15.75" x14ac:dyDescent="0.25">
      <c r="A9" s="6"/>
      <c r="B9" s="4" t="s">
        <v>7</v>
      </c>
      <c r="C9" s="12"/>
    </row>
    <row r="10" spans="1:5" ht="15.75" x14ac:dyDescent="0.25">
      <c r="A10" s="6"/>
      <c r="B10" s="4" t="s">
        <v>8</v>
      </c>
      <c r="C10" s="12"/>
    </row>
    <row r="11" spans="1:5" ht="15.75" x14ac:dyDescent="0.25">
      <c r="A11" s="6"/>
      <c r="B11" s="4" t="s">
        <v>397</v>
      </c>
      <c r="C11" s="12"/>
    </row>
    <row r="12" spans="1:5" ht="15.75" x14ac:dyDescent="0.25">
      <c r="A12" s="14" t="s">
        <v>10</v>
      </c>
      <c r="B12" s="5" t="s">
        <v>11</v>
      </c>
      <c r="C12" s="16">
        <f>SUM(C13+C18)</f>
        <v>72.056809523809534</v>
      </c>
      <c r="D12" s="55"/>
    </row>
    <row r="13" spans="1:5" ht="15.75" x14ac:dyDescent="0.25">
      <c r="A13" s="6"/>
      <c r="B13" s="63" t="s">
        <v>365</v>
      </c>
      <c r="C13" s="16">
        <f>SUM(C14/21)</f>
        <v>60.238095238095241</v>
      </c>
    </row>
    <row r="14" spans="1:5" ht="15.75" x14ac:dyDescent="0.25">
      <c r="A14" s="6"/>
      <c r="B14" s="4" t="s">
        <v>58</v>
      </c>
      <c r="C14" s="16">
        <f>SUM(C15:C16)</f>
        <v>1265</v>
      </c>
    </row>
    <row r="15" spans="1:5" ht="15.75" x14ac:dyDescent="0.25">
      <c r="A15" s="6"/>
      <c r="B15" s="4" t="s">
        <v>13</v>
      </c>
      <c r="C15" s="12">
        <v>1100</v>
      </c>
      <c r="D15" s="62"/>
      <c r="E15" s="62"/>
    </row>
    <row r="16" spans="1:5" ht="15.75" x14ac:dyDescent="0.25">
      <c r="A16" s="6"/>
      <c r="B16" s="4" t="s">
        <v>14</v>
      </c>
      <c r="C16" s="12">
        <v>165</v>
      </c>
    </row>
    <row r="17" spans="1:4" ht="15.75" x14ac:dyDescent="0.25">
      <c r="A17" s="6"/>
      <c r="B17" s="17" t="s">
        <v>59</v>
      </c>
      <c r="C17" s="12">
        <v>165</v>
      </c>
    </row>
    <row r="18" spans="1:4" ht="15.75" x14ac:dyDescent="0.25">
      <c r="A18" s="6"/>
      <c r="B18" s="4" t="s">
        <v>65</v>
      </c>
      <c r="C18" s="16">
        <f>SUM(C19:C21)</f>
        <v>11.818714285714286</v>
      </c>
    </row>
    <row r="19" spans="1:4" ht="15.75" x14ac:dyDescent="0.25">
      <c r="A19" s="6"/>
      <c r="B19" s="63" t="s">
        <v>366</v>
      </c>
      <c r="C19" s="67">
        <f>SUM(C13*12.02%)</f>
        <v>7.240619047619048</v>
      </c>
    </row>
    <row r="20" spans="1:4" ht="15.75" x14ac:dyDescent="0.25">
      <c r="A20" s="6"/>
      <c r="B20" s="63" t="s">
        <v>367</v>
      </c>
      <c r="C20" s="67">
        <f>SUM(C13*4.8%)</f>
        <v>2.8914285714285715</v>
      </c>
    </row>
    <row r="21" spans="1:4" ht="15.75" x14ac:dyDescent="0.25">
      <c r="A21" s="6"/>
      <c r="B21" s="63" t="s">
        <v>368</v>
      </c>
      <c r="C21" s="67">
        <f>SUM(C13*2.8%)</f>
        <v>1.6866666666666665</v>
      </c>
    </row>
    <row r="22" spans="1:4" ht="15.75" x14ac:dyDescent="0.25">
      <c r="A22" s="14" t="s">
        <v>1</v>
      </c>
      <c r="B22" s="5" t="s">
        <v>18</v>
      </c>
      <c r="C22" s="16">
        <f>C23+C24</f>
        <v>237.15</v>
      </c>
      <c r="D22" s="55"/>
    </row>
    <row r="23" spans="1:4" ht="15.75" x14ac:dyDescent="0.25">
      <c r="A23" s="6"/>
      <c r="B23" s="4" t="s">
        <v>398</v>
      </c>
      <c r="C23" s="16">
        <v>214.5</v>
      </c>
      <c r="D23" s="55"/>
    </row>
    <row r="24" spans="1:4" ht="15.75" x14ac:dyDescent="0.25">
      <c r="A24" s="6"/>
      <c r="B24" s="4" t="s">
        <v>19</v>
      </c>
      <c r="C24" s="16">
        <f>C26+C28+C30</f>
        <v>22.650000000000002</v>
      </c>
      <c r="D24" s="55"/>
    </row>
    <row r="25" spans="1:4" ht="15.75" x14ac:dyDescent="0.25">
      <c r="A25" s="6"/>
      <c r="B25" s="4" t="s">
        <v>48</v>
      </c>
      <c r="C25" s="16"/>
      <c r="D25" s="55"/>
    </row>
    <row r="26" spans="1:4" ht="15.75" x14ac:dyDescent="0.25">
      <c r="A26" s="6"/>
      <c r="B26" s="27" t="s">
        <v>200</v>
      </c>
      <c r="C26" s="25">
        <v>0.76</v>
      </c>
      <c r="D26" s="55"/>
    </row>
    <row r="27" spans="1:4" ht="15.75" x14ac:dyDescent="0.25">
      <c r="A27" s="6"/>
      <c r="B27" s="4" t="s">
        <v>49</v>
      </c>
      <c r="C27" s="12"/>
      <c r="D27" s="55"/>
    </row>
    <row r="28" spans="1:4" ht="15.75" x14ac:dyDescent="0.25">
      <c r="A28" s="6"/>
      <c r="B28" s="4" t="s">
        <v>400</v>
      </c>
      <c r="C28" s="12">
        <v>20.8</v>
      </c>
      <c r="D28" s="55"/>
    </row>
    <row r="29" spans="1:4" ht="15.75" x14ac:dyDescent="0.25">
      <c r="A29" s="6"/>
      <c r="B29" s="4" t="s">
        <v>50</v>
      </c>
      <c r="C29" s="12"/>
      <c r="D29" s="55"/>
    </row>
    <row r="30" spans="1:4" ht="15.75" x14ac:dyDescent="0.25">
      <c r="A30" s="6"/>
      <c r="B30" s="26" t="s">
        <v>399</v>
      </c>
      <c r="C30" s="12">
        <v>1.0900000000000001</v>
      </c>
      <c r="D30" s="55"/>
    </row>
    <row r="31" spans="1:4" ht="15.75" x14ac:dyDescent="0.25">
      <c r="A31" s="14" t="s">
        <v>25</v>
      </c>
      <c r="B31" s="5" t="s">
        <v>401</v>
      </c>
      <c r="C31" s="16">
        <f>SUM(C22*0.3)</f>
        <v>71.144999999999996</v>
      </c>
      <c r="D31" s="55"/>
    </row>
    <row r="32" spans="1:4" ht="15.75" x14ac:dyDescent="0.25">
      <c r="A32" s="14" t="s">
        <v>26</v>
      </c>
      <c r="B32" s="5" t="s">
        <v>369</v>
      </c>
      <c r="C32" s="16">
        <f>SUM(C12*1.2)</f>
        <v>86.468171428571438</v>
      </c>
      <c r="D32" s="55"/>
    </row>
    <row r="33" spans="1:5" ht="15.75" x14ac:dyDescent="0.25">
      <c r="A33" s="14" t="s">
        <v>27</v>
      </c>
      <c r="B33" s="5" t="s">
        <v>30</v>
      </c>
      <c r="C33" s="70">
        <f>SUM(C12+C32+C22+C31)</f>
        <v>466.819980952381</v>
      </c>
      <c r="D33" s="55"/>
    </row>
    <row r="34" spans="1:5" ht="15.75" x14ac:dyDescent="0.25">
      <c r="A34" s="14" t="s">
        <v>28</v>
      </c>
      <c r="B34" s="5" t="s">
        <v>402</v>
      </c>
      <c r="C34" s="70">
        <v>93.37</v>
      </c>
    </row>
    <row r="35" spans="1:5" ht="15.75" x14ac:dyDescent="0.25">
      <c r="A35" s="14" t="s">
        <v>29</v>
      </c>
      <c r="B35" s="5" t="s">
        <v>435</v>
      </c>
      <c r="C35" s="16">
        <f>C33*126</f>
        <v>58819.317600000009</v>
      </c>
    </row>
    <row r="36" spans="1:5" ht="15.75" x14ac:dyDescent="0.25">
      <c r="A36" s="14"/>
      <c r="B36" s="42"/>
      <c r="C36" s="12"/>
    </row>
    <row r="37" spans="1:5" ht="15.75" x14ac:dyDescent="0.25">
      <c r="A37" s="8"/>
      <c r="B37" s="43" t="s">
        <v>277</v>
      </c>
      <c r="C37" s="15"/>
    </row>
    <row r="38" spans="1:5" ht="15.75" x14ac:dyDescent="0.25">
      <c r="A38" s="8"/>
      <c r="B38" s="44"/>
    </row>
    <row r="39" spans="1:5" ht="15.75" x14ac:dyDescent="0.25">
      <c r="A39" s="8"/>
    </row>
    <row r="40" spans="1:5" ht="15.75" x14ac:dyDescent="0.25">
      <c r="A40" s="8"/>
      <c r="B40" s="125" t="s">
        <v>224</v>
      </c>
      <c r="C40" s="125"/>
    </row>
    <row r="41" spans="1:5" ht="15.75" x14ac:dyDescent="0.25">
      <c r="A41" s="8"/>
    </row>
    <row r="42" spans="1:5" x14ac:dyDescent="0.25">
      <c r="C42" s="112" t="s">
        <v>221</v>
      </c>
      <c r="D42" s="112" t="s">
        <v>222</v>
      </c>
      <c r="E42" s="112" t="s">
        <v>223</v>
      </c>
    </row>
    <row r="43" spans="1:5" x14ac:dyDescent="0.25">
      <c r="B43" t="s">
        <v>140</v>
      </c>
      <c r="C43" s="98">
        <v>35</v>
      </c>
      <c r="D43" s="70">
        <v>93.37</v>
      </c>
      <c r="E43" s="122">
        <f>C43*D43</f>
        <v>3267.9500000000003</v>
      </c>
    </row>
    <row r="44" spans="1:5" x14ac:dyDescent="0.25">
      <c r="C44" s="98"/>
      <c r="D44" s="98"/>
      <c r="E44" s="122">
        <f t="shared" ref="E44:E71" si="0">C44*D44</f>
        <v>0</v>
      </c>
    </row>
    <row r="45" spans="1:5" x14ac:dyDescent="0.25">
      <c r="B45" t="s">
        <v>141</v>
      </c>
      <c r="C45" s="98">
        <v>25</v>
      </c>
      <c r="D45" s="70">
        <v>93.37</v>
      </c>
      <c r="E45" s="122">
        <f t="shared" si="0"/>
        <v>2334.25</v>
      </c>
    </row>
    <row r="46" spans="1:5" x14ac:dyDescent="0.25">
      <c r="C46" s="98"/>
      <c r="D46" s="98"/>
      <c r="E46" s="122">
        <f t="shared" si="0"/>
        <v>0</v>
      </c>
    </row>
    <row r="47" spans="1:5" x14ac:dyDescent="0.25">
      <c r="B47" t="s">
        <v>142</v>
      </c>
      <c r="C47" s="98">
        <v>20</v>
      </c>
      <c r="D47" s="70">
        <v>93.37</v>
      </c>
      <c r="E47" s="122">
        <f t="shared" si="0"/>
        <v>1867.4</v>
      </c>
    </row>
    <row r="48" spans="1:5" x14ac:dyDescent="0.25">
      <c r="C48" s="98"/>
      <c r="D48" s="98"/>
      <c r="E48" s="122">
        <f t="shared" si="0"/>
        <v>0</v>
      </c>
    </row>
    <row r="49" spans="2:5" x14ac:dyDescent="0.25">
      <c r="B49" t="s">
        <v>143</v>
      </c>
      <c r="C49" s="98">
        <v>15</v>
      </c>
      <c r="D49" s="70">
        <v>93.37</v>
      </c>
      <c r="E49" s="122">
        <f t="shared" si="0"/>
        <v>1400.5500000000002</v>
      </c>
    </row>
    <row r="50" spans="2:5" x14ac:dyDescent="0.25">
      <c r="C50" s="98"/>
      <c r="D50" s="98"/>
      <c r="E50" s="122">
        <f t="shared" si="0"/>
        <v>0</v>
      </c>
    </row>
    <row r="51" spans="2:5" x14ac:dyDescent="0.25">
      <c r="B51" t="s">
        <v>144</v>
      </c>
      <c r="C51" s="98">
        <v>25</v>
      </c>
      <c r="D51" s="70">
        <v>93.37</v>
      </c>
      <c r="E51" s="122">
        <f t="shared" si="0"/>
        <v>2334.25</v>
      </c>
    </row>
    <row r="52" spans="2:5" x14ac:dyDescent="0.25">
      <c r="C52" s="98"/>
      <c r="D52" s="98"/>
      <c r="E52" s="122">
        <f t="shared" si="0"/>
        <v>0</v>
      </c>
    </row>
    <row r="53" spans="2:5" x14ac:dyDescent="0.25">
      <c r="B53" t="s">
        <v>145</v>
      </c>
      <c r="C53" s="98">
        <v>40</v>
      </c>
      <c r="D53" s="70">
        <v>93.37</v>
      </c>
      <c r="E53" s="122">
        <f t="shared" si="0"/>
        <v>3734.8</v>
      </c>
    </row>
    <row r="54" spans="2:5" x14ac:dyDescent="0.25">
      <c r="C54" s="98"/>
      <c r="D54" s="98"/>
      <c r="E54" s="122">
        <f t="shared" si="0"/>
        <v>0</v>
      </c>
    </row>
    <row r="55" spans="2:5" x14ac:dyDescent="0.25">
      <c r="B55" t="s">
        <v>146</v>
      </c>
      <c r="C55" s="98">
        <v>50</v>
      </c>
      <c r="D55" s="70">
        <v>93.37</v>
      </c>
      <c r="E55" s="122">
        <f t="shared" si="0"/>
        <v>4668.5</v>
      </c>
    </row>
    <row r="56" spans="2:5" x14ac:dyDescent="0.25">
      <c r="C56" s="98"/>
      <c r="D56" s="98"/>
      <c r="E56" s="122">
        <f t="shared" si="0"/>
        <v>0</v>
      </c>
    </row>
    <row r="57" spans="2:5" x14ac:dyDescent="0.25">
      <c r="B57" t="s">
        <v>147</v>
      </c>
      <c r="C57" s="98">
        <v>40</v>
      </c>
      <c r="D57" s="70">
        <v>93.37</v>
      </c>
      <c r="E57" s="122">
        <f t="shared" si="0"/>
        <v>3734.8</v>
      </c>
    </row>
    <row r="58" spans="2:5" x14ac:dyDescent="0.25">
      <c r="C58" s="98"/>
      <c r="D58" s="98"/>
      <c r="E58" s="122">
        <f t="shared" si="0"/>
        <v>0</v>
      </c>
    </row>
    <row r="59" spans="2:5" x14ac:dyDescent="0.25">
      <c r="B59" t="s">
        <v>148</v>
      </c>
      <c r="C59" s="98">
        <v>15</v>
      </c>
      <c r="D59" s="70">
        <v>93.37</v>
      </c>
      <c r="E59" s="122">
        <f t="shared" si="0"/>
        <v>1400.5500000000002</v>
      </c>
    </row>
    <row r="60" spans="2:5" x14ac:dyDescent="0.25">
      <c r="C60" s="98"/>
      <c r="D60" s="98"/>
      <c r="E60" s="122">
        <f t="shared" si="0"/>
        <v>0</v>
      </c>
    </row>
    <row r="61" spans="2:5" x14ac:dyDescent="0.25">
      <c r="B61" t="s">
        <v>149</v>
      </c>
      <c r="C61" s="98">
        <v>45</v>
      </c>
      <c r="D61" s="70">
        <v>93.37</v>
      </c>
      <c r="E61" s="122">
        <f t="shared" si="0"/>
        <v>4201.6500000000005</v>
      </c>
    </row>
    <row r="62" spans="2:5" x14ac:dyDescent="0.25">
      <c r="C62" s="98"/>
      <c r="D62" s="98"/>
      <c r="E62" s="122">
        <f t="shared" si="0"/>
        <v>0</v>
      </c>
    </row>
    <row r="63" spans="2:5" x14ac:dyDescent="0.25">
      <c r="B63" t="s">
        <v>150</v>
      </c>
      <c r="C63" s="98">
        <v>15</v>
      </c>
      <c r="D63" s="70">
        <v>93.37</v>
      </c>
      <c r="E63" s="122">
        <f t="shared" si="0"/>
        <v>1400.5500000000002</v>
      </c>
    </row>
    <row r="64" spans="2:5" x14ac:dyDescent="0.25">
      <c r="C64" s="98"/>
      <c r="D64" s="98"/>
      <c r="E64" s="122">
        <f t="shared" si="0"/>
        <v>0</v>
      </c>
    </row>
    <row r="65" spans="2:5" x14ac:dyDescent="0.25">
      <c r="B65" t="s">
        <v>151</v>
      </c>
      <c r="C65" s="98">
        <v>20</v>
      </c>
      <c r="D65" s="70">
        <v>93.37</v>
      </c>
      <c r="E65" s="122">
        <f t="shared" si="0"/>
        <v>1867.4</v>
      </c>
    </row>
    <row r="66" spans="2:5" x14ac:dyDescent="0.25">
      <c r="C66" s="98"/>
      <c r="D66" s="98"/>
      <c r="E66" s="122">
        <f t="shared" si="0"/>
        <v>0</v>
      </c>
    </row>
    <row r="67" spans="2:5" x14ac:dyDescent="0.25">
      <c r="B67" t="s">
        <v>152</v>
      </c>
      <c r="C67" s="98">
        <v>20</v>
      </c>
      <c r="D67" s="70">
        <v>93.37</v>
      </c>
      <c r="E67" s="122">
        <f t="shared" si="0"/>
        <v>1867.4</v>
      </c>
    </row>
    <row r="68" spans="2:5" x14ac:dyDescent="0.25">
      <c r="C68" s="98"/>
      <c r="D68" s="98"/>
      <c r="E68" s="122">
        <f t="shared" si="0"/>
        <v>0</v>
      </c>
    </row>
    <row r="69" spans="2:5" x14ac:dyDescent="0.25">
      <c r="B69" t="s">
        <v>153</v>
      </c>
      <c r="C69" s="98">
        <v>250</v>
      </c>
      <c r="D69" s="70">
        <v>93.37</v>
      </c>
      <c r="E69" s="122">
        <f t="shared" si="0"/>
        <v>23342.5</v>
      </c>
    </row>
    <row r="70" spans="2:5" x14ac:dyDescent="0.25">
      <c r="C70" s="98"/>
      <c r="D70" s="98"/>
      <c r="E70" s="122">
        <f t="shared" si="0"/>
        <v>0</v>
      </c>
    </row>
    <row r="71" spans="2:5" x14ac:dyDescent="0.25">
      <c r="B71" t="s">
        <v>139</v>
      </c>
      <c r="C71" s="98">
        <v>15</v>
      </c>
      <c r="D71" s="70">
        <v>93.37</v>
      </c>
      <c r="E71" s="122">
        <f t="shared" si="0"/>
        <v>1400.5500000000002</v>
      </c>
    </row>
    <row r="72" spans="2:5" x14ac:dyDescent="0.25">
      <c r="C72" s="98"/>
      <c r="D72" s="98"/>
      <c r="E72" s="98"/>
    </row>
    <row r="73" spans="2:5" x14ac:dyDescent="0.25">
      <c r="C73" s="112">
        <f>SUM(C43:C71)</f>
        <v>630</v>
      </c>
      <c r="D73" s="98"/>
      <c r="E73" s="123">
        <v>58819.32</v>
      </c>
    </row>
  </sheetData>
  <mergeCells count="3">
    <mergeCell ref="B40:C40"/>
    <mergeCell ref="A3:C3"/>
    <mergeCell ref="A4:B4"/>
  </mergeCell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opLeftCell="A25" zoomScale="120" zoomScaleNormal="120" workbookViewId="0">
      <selection activeCell="B38" sqref="B38"/>
    </sheetView>
  </sheetViews>
  <sheetFormatPr defaultRowHeight="15" x14ac:dyDescent="0.25"/>
  <cols>
    <col min="1" max="1" width="4.85546875" customWidth="1"/>
    <col min="2" max="2" width="77" customWidth="1"/>
    <col min="3" max="3" width="16" customWidth="1"/>
  </cols>
  <sheetData>
    <row r="1" spans="1:3" ht="15.75" x14ac:dyDescent="0.25">
      <c r="A1" s="8"/>
    </row>
    <row r="2" spans="1:3" ht="15.75" x14ac:dyDescent="0.25">
      <c r="A2" s="8"/>
      <c r="B2" s="41" t="s">
        <v>85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ht="15.75" x14ac:dyDescent="0.25">
      <c r="A6" s="8"/>
      <c r="B6" s="126" t="s">
        <v>88</v>
      </c>
      <c r="C6" s="126"/>
    </row>
    <row r="7" spans="1:3" ht="16.5" thickBot="1" x14ac:dyDescent="0.3">
      <c r="A7" s="8"/>
      <c r="B7" s="41" t="s">
        <v>370</v>
      </c>
      <c r="C7" s="11"/>
    </row>
    <row r="8" spans="1:3" ht="15.75" x14ac:dyDescent="0.25">
      <c r="A8" s="9" t="s">
        <v>2</v>
      </c>
      <c r="B8" s="110" t="s">
        <v>4</v>
      </c>
      <c r="C8" s="111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71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56</v>
      </c>
      <c r="C14" s="12"/>
    </row>
    <row r="15" spans="1:3" ht="15.75" x14ac:dyDescent="0.25">
      <c r="A15" s="14" t="s">
        <v>10</v>
      </c>
      <c r="B15" s="5" t="s">
        <v>11</v>
      </c>
      <c r="C15" s="16">
        <f>C16+C22</f>
        <v>166.89838095238093</v>
      </c>
    </row>
    <row r="16" spans="1:3" ht="15.75" x14ac:dyDescent="0.25">
      <c r="A16" s="6"/>
      <c r="B16" s="4" t="s">
        <v>416</v>
      </c>
      <c r="C16" s="16">
        <f>SUM(C17+C21)/21</f>
        <v>139.52380952380952</v>
      </c>
    </row>
    <row r="17" spans="1:3" ht="15.75" x14ac:dyDescent="0.25">
      <c r="A17" s="6"/>
      <c r="B17" s="4" t="s">
        <v>58</v>
      </c>
      <c r="C17" s="16">
        <f>C18+C19</f>
        <v>1150</v>
      </c>
    </row>
    <row r="18" spans="1:3" ht="15.75" x14ac:dyDescent="0.25">
      <c r="A18" s="6"/>
      <c r="B18" s="4" t="s">
        <v>13</v>
      </c>
      <c r="C18" s="12">
        <v>1000</v>
      </c>
    </row>
    <row r="19" spans="1:3" ht="15.75" x14ac:dyDescent="0.25">
      <c r="A19" s="6"/>
      <c r="B19" s="4" t="s">
        <v>14</v>
      </c>
      <c r="C19" s="12">
        <v>150</v>
      </c>
    </row>
    <row r="20" spans="1:3" ht="15.75" x14ac:dyDescent="0.25">
      <c r="A20" s="6"/>
      <c r="B20" s="17" t="s">
        <v>59</v>
      </c>
      <c r="C20" s="12">
        <v>150</v>
      </c>
    </row>
    <row r="21" spans="1:3" s="62" customFormat="1" ht="15.75" x14ac:dyDescent="0.25">
      <c r="A21" s="65"/>
      <c r="B21" s="63" t="s">
        <v>415</v>
      </c>
      <c r="C21" s="70">
        <v>1780</v>
      </c>
    </row>
    <row r="22" spans="1:3" ht="15.75" x14ac:dyDescent="0.25">
      <c r="A22" s="6"/>
      <c r="B22" s="4" t="s">
        <v>17</v>
      </c>
      <c r="C22" s="16">
        <f>SUM(C23:C25)</f>
        <v>27.374571428571429</v>
      </c>
    </row>
    <row r="23" spans="1:3" ht="15.75" x14ac:dyDescent="0.25">
      <c r="A23" s="6"/>
      <c r="B23" s="4" t="s">
        <v>417</v>
      </c>
      <c r="C23" s="12">
        <f>SUM(C16*12.02%)</f>
        <v>16.770761904761905</v>
      </c>
    </row>
    <row r="24" spans="1:3" ht="15.75" x14ac:dyDescent="0.25">
      <c r="A24" s="6"/>
      <c r="B24" s="4" t="s">
        <v>418</v>
      </c>
      <c r="C24" s="12">
        <f>SUM(C16*4.8%)</f>
        <v>6.6971428571428566</v>
      </c>
    </row>
    <row r="25" spans="1:3" ht="15.75" x14ac:dyDescent="0.25">
      <c r="A25" s="6"/>
      <c r="B25" s="4" t="s">
        <v>419</v>
      </c>
      <c r="C25" s="12">
        <f>SUM(C16*2.8%)</f>
        <v>3.9066666666666663</v>
      </c>
    </row>
    <row r="26" spans="1:3" ht="15.75" x14ac:dyDescent="0.25">
      <c r="A26" s="14" t="s">
        <v>1</v>
      </c>
      <c r="B26" s="5" t="s">
        <v>18</v>
      </c>
      <c r="C26" s="16">
        <f>C27+C28</f>
        <v>33.360000000000007</v>
      </c>
    </row>
    <row r="27" spans="1:3" ht="15.75" x14ac:dyDescent="0.25">
      <c r="A27" s="6"/>
      <c r="B27" s="4" t="s">
        <v>373</v>
      </c>
      <c r="C27" s="16">
        <v>32.340000000000003</v>
      </c>
    </row>
    <row r="28" spans="1:3" ht="15.75" x14ac:dyDescent="0.25">
      <c r="A28" s="6"/>
      <c r="B28" s="4" t="s">
        <v>19</v>
      </c>
      <c r="C28" s="16">
        <f>SUM(C30:C33)</f>
        <v>1.02</v>
      </c>
    </row>
    <row r="29" spans="1:3" ht="15.75" x14ac:dyDescent="0.25">
      <c r="A29" s="6"/>
      <c r="B29" s="4" t="s">
        <v>48</v>
      </c>
      <c r="C29" s="16"/>
    </row>
    <row r="30" spans="1:3" ht="15.75" x14ac:dyDescent="0.25">
      <c r="A30" s="6"/>
      <c r="B30" s="27" t="s">
        <v>121</v>
      </c>
      <c r="C30" s="25">
        <v>0.22</v>
      </c>
    </row>
    <row r="31" spans="1:3" ht="15.75" x14ac:dyDescent="0.25">
      <c r="A31" s="6"/>
      <c r="B31" s="4" t="s">
        <v>303</v>
      </c>
      <c r="C31" s="12"/>
    </row>
    <row r="32" spans="1:3" ht="15.75" x14ac:dyDescent="0.25">
      <c r="A32" s="6"/>
      <c r="B32" s="4" t="s">
        <v>81</v>
      </c>
      <c r="C32" s="12"/>
    </row>
    <row r="33" spans="1:3" ht="15.75" x14ac:dyDescent="0.25">
      <c r="A33" s="6"/>
      <c r="B33" s="4" t="s">
        <v>374</v>
      </c>
      <c r="C33" s="12">
        <v>0.8</v>
      </c>
    </row>
    <row r="34" spans="1:3" ht="15.75" x14ac:dyDescent="0.25">
      <c r="A34" s="14" t="s">
        <v>25</v>
      </c>
      <c r="B34" s="5" t="s">
        <v>375</v>
      </c>
      <c r="C34" s="16">
        <f>SUM(C26*0.3)</f>
        <v>10.008000000000001</v>
      </c>
    </row>
    <row r="35" spans="1:3" ht="15.75" x14ac:dyDescent="0.25">
      <c r="A35" s="14" t="s">
        <v>26</v>
      </c>
      <c r="B35" s="5" t="s">
        <v>420</v>
      </c>
      <c r="C35" s="16">
        <f>SUM(C15*1.2)</f>
        <v>200.27805714285711</v>
      </c>
    </row>
    <row r="36" spans="1:3" ht="15.75" x14ac:dyDescent="0.25">
      <c r="A36" s="14" t="s">
        <v>27</v>
      </c>
      <c r="B36" s="5" t="s">
        <v>30</v>
      </c>
      <c r="C36" s="16">
        <f>C15+C26+C34+C35</f>
        <v>410.54443809523809</v>
      </c>
    </row>
    <row r="37" spans="1:3" ht="15.75" x14ac:dyDescent="0.25">
      <c r="A37" s="14" t="s">
        <v>28</v>
      </c>
      <c r="B37" s="5" t="s">
        <v>72</v>
      </c>
      <c r="C37" s="16">
        <f>C36</f>
        <v>410.54443809523809</v>
      </c>
    </row>
    <row r="38" spans="1:3" ht="15.75" x14ac:dyDescent="0.25">
      <c r="A38" s="14" t="s">
        <v>29</v>
      </c>
      <c r="B38" s="5" t="s">
        <v>436</v>
      </c>
      <c r="C38" s="16">
        <f>SUM(C37*126)</f>
        <v>51728.599199999997</v>
      </c>
    </row>
    <row r="39" spans="1:3" ht="15.6" x14ac:dyDescent="0.3">
      <c r="A39" s="14"/>
      <c r="B39" s="4"/>
      <c r="C39" s="12"/>
    </row>
    <row r="40" spans="1:3" ht="15.6" x14ac:dyDescent="0.3">
      <c r="A40" s="8"/>
      <c r="C40" s="15"/>
    </row>
    <row r="41" spans="1:3" ht="15.75" x14ac:dyDescent="0.25">
      <c r="A41" s="8"/>
      <c r="B41" s="22" t="s">
        <v>258</v>
      </c>
      <c r="C41" s="15"/>
    </row>
    <row r="42" spans="1:3" ht="15.6" x14ac:dyDescent="0.3">
      <c r="A42" s="8"/>
    </row>
    <row r="43" spans="1:3" ht="15.75" x14ac:dyDescent="0.25">
      <c r="A43" s="8"/>
    </row>
    <row r="44" spans="1:3" ht="15.75" x14ac:dyDescent="0.25">
      <c r="A44" s="8"/>
    </row>
    <row r="45" spans="1:3" ht="15.75" x14ac:dyDescent="0.25">
      <c r="A45" s="8"/>
      <c r="B45" s="125" t="s">
        <v>74</v>
      </c>
      <c r="C45" s="125"/>
    </row>
  </sheetData>
  <mergeCells count="2">
    <mergeCell ref="B6:C6"/>
    <mergeCell ref="B45:C45"/>
  </mergeCells>
  <pageMargins left="0.7" right="0.7" top="0.75" bottom="0.75" header="0.3" footer="0.3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25" workbookViewId="0">
      <selection activeCell="B37" sqref="B37"/>
    </sheetView>
  </sheetViews>
  <sheetFormatPr defaultRowHeight="15" x14ac:dyDescent="0.25"/>
  <cols>
    <col min="1" max="1" width="5.140625" customWidth="1"/>
    <col min="2" max="2" width="73.28515625" customWidth="1"/>
    <col min="3" max="3" width="15.5703125" customWidth="1"/>
  </cols>
  <sheetData>
    <row r="1" spans="1:3" ht="15.75" x14ac:dyDescent="0.25">
      <c r="A1" s="8"/>
    </row>
    <row r="2" spans="1:3" ht="15.75" x14ac:dyDescent="0.25">
      <c r="A2" s="8"/>
      <c r="B2" s="41" t="s">
        <v>31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ht="15.75" x14ac:dyDescent="0.25">
      <c r="A6" s="8"/>
      <c r="B6" s="126" t="s">
        <v>73</v>
      </c>
      <c r="C6" s="126"/>
    </row>
    <row r="7" spans="1:3" ht="16.5" thickBot="1" x14ac:dyDescent="0.3">
      <c r="A7" s="8"/>
      <c r="B7" s="41" t="s">
        <v>370</v>
      </c>
      <c r="C7" s="11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71</v>
      </c>
      <c r="C11" s="12"/>
    </row>
    <row r="12" spans="1:3" ht="15.75" x14ac:dyDescent="0.25">
      <c r="A12" s="6"/>
      <c r="B12" s="4" t="s">
        <v>7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56</v>
      </c>
      <c r="C14" s="12"/>
    </row>
    <row r="15" spans="1:3" ht="15.75" x14ac:dyDescent="0.25">
      <c r="A15" s="14" t="s">
        <v>10</v>
      </c>
      <c r="B15" s="5" t="s">
        <v>11</v>
      </c>
      <c r="C15" s="16">
        <v>54.36</v>
      </c>
    </row>
    <row r="16" spans="1:3" ht="15.75" x14ac:dyDescent="0.25">
      <c r="A16" s="6"/>
      <c r="B16" s="4" t="s">
        <v>376</v>
      </c>
      <c r="C16" s="16">
        <f>SUM(C17/21)</f>
        <v>54.761904761904759</v>
      </c>
    </row>
    <row r="17" spans="1:3" ht="15.75" x14ac:dyDescent="0.25">
      <c r="A17" s="6"/>
      <c r="B17" s="4" t="s">
        <v>58</v>
      </c>
      <c r="C17" s="16">
        <f>C18+C19</f>
        <v>1150</v>
      </c>
    </row>
    <row r="18" spans="1:3" ht="15.75" x14ac:dyDescent="0.25">
      <c r="A18" s="6"/>
      <c r="B18" s="4" t="s">
        <v>13</v>
      </c>
      <c r="C18" s="12">
        <v>1000</v>
      </c>
    </row>
    <row r="19" spans="1:3" ht="15.75" x14ac:dyDescent="0.25">
      <c r="A19" s="6"/>
      <c r="B19" s="4" t="s">
        <v>14</v>
      </c>
      <c r="C19" s="12">
        <v>150</v>
      </c>
    </row>
    <row r="20" spans="1:3" ht="15.75" x14ac:dyDescent="0.25">
      <c r="A20" s="6"/>
      <c r="B20" s="17" t="s">
        <v>59</v>
      </c>
      <c r="C20" s="12">
        <v>150</v>
      </c>
    </row>
    <row r="21" spans="1:3" ht="15.75" x14ac:dyDescent="0.25">
      <c r="A21" s="6"/>
      <c r="B21" s="4" t="s">
        <v>17</v>
      </c>
      <c r="C21" s="16">
        <f>SUM(C22:C24)</f>
        <v>10.744285714285715</v>
      </c>
    </row>
    <row r="22" spans="1:3" ht="15.75" x14ac:dyDescent="0.25">
      <c r="A22" s="6"/>
      <c r="B22" s="4" t="s">
        <v>377</v>
      </c>
      <c r="C22" s="12">
        <f>SUM(C16*12.02%)</f>
        <v>6.5823809523809524</v>
      </c>
    </row>
    <row r="23" spans="1:3" ht="15.75" x14ac:dyDescent="0.25">
      <c r="A23" s="6"/>
      <c r="B23" s="4" t="s">
        <v>378</v>
      </c>
      <c r="C23" s="12">
        <f>SUM(C16*4.8%)</f>
        <v>2.6285714285714286</v>
      </c>
    </row>
    <row r="24" spans="1:3" ht="15.75" x14ac:dyDescent="0.25">
      <c r="A24" s="6"/>
      <c r="B24" s="4" t="s">
        <v>379</v>
      </c>
      <c r="C24" s="12">
        <f>SUM(C16*2.8%)</f>
        <v>1.533333333333333</v>
      </c>
    </row>
    <row r="25" spans="1:3" ht="15.75" x14ac:dyDescent="0.25">
      <c r="A25" s="14" t="s">
        <v>1</v>
      </c>
      <c r="B25" s="5" t="s">
        <v>18</v>
      </c>
      <c r="C25" s="16">
        <f>C26+C27</f>
        <v>72.739999999999995</v>
      </c>
    </row>
    <row r="26" spans="1:3" ht="15.75" x14ac:dyDescent="0.25">
      <c r="A26" s="6"/>
      <c r="B26" s="4" t="s">
        <v>371</v>
      </c>
      <c r="C26" s="16">
        <v>70.489999999999995</v>
      </c>
    </row>
    <row r="27" spans="1:3" ht="15.75" x14ac:dyDescent="0.25">
      <c r="A27" s="6"/>
      <c r="B27" s="4" t="s">
        <v>19</v>
      </c>
      <c r="C27" s="16">
        <v>2.25</v>
      </c>
    </row>
    <row r="28" spans="1:3" ht="15.75" x14ac:dyDescent="0.25">
      <c r="A28" s="6"/>
      <c r="B28" s="4" t="s">
        <v>48</v>
      </c>
      <c r="C28" s="16"/>
    </row>
    <row r="29" spans="1:3" ht="15.75" x14ac:dyDescent="0.25">
      <c r="A29" s="6"/>
      <c r="B29" s="27" t="s">
        <v>122</v>
      </c>
      <c r="C29" s="25">
        <v>0.56999999999999995</v>
      </c>
    </row>
    <row r="30" spans="1:3" ht="15.75" x14ac:dyDescent="0.25">
      <c r="A30" s="6"/>
      <c r="B30" s="4" t="s">
        <v>303</v>
      </c>
      <c r="C30" s="12"/>
    </row>
    <row r="31" spans="1:3" ht="15.75" x14ac:dyDescent="0.25">
      <c r="A31" s="6"/>
      <c r="B31" s="4" t="s">
        <v>20</v>
      </c>
      <c r="C31" s="12"/>
    </row>
    <row r="32" spans="1:3" ht="15.75" x14ac:dyDescent="0.25">
      <c r="A32" s="6"/>
      <c r="B32" s="4" t="s">
        <v>123</v>
      </c>
      <c r="C32" s="12">
        <v>1.68</v>
      </c>
    </row>
    <row r="33" spans="1:3" ht="15.75" x14ac:dyDescent="0.25">
      <c r="A33" s="14" t="s">
        <v>25</v>
      </c>
      <c r="B33" s="5" t="s">
        <v>372</v>
      </c>
      <c r="C33" s="16">
        <f>SUM(C25*0.3)</f>
        <v>21.821999999999999</v>
      </c>
    </row>
    <row r="34" spans="1:3" ht="15.75" x14ac:dyDescent="0.25">
      <c r="A34" s="14" t="s">
        <v>26</v>
      </c>
      <c r="B34" s="5" t="s">
        <v>189</v>
      </c>
      <c r="C34" s="16">
        <f>SUM(C15*1.2)</f>
        <v>65.231999999999999</v>
      </c>
    </row>
    <row r="35" spans="1:3" ht="15.75" x14ac:dyDescent="0.25">
      <c r="A35" s="14" t="s">
        <v>27</v>
      </c>
      <c r="B35" s="5" t="s">
        <v>30</v>
      </c>
      <c r="C35" s="16">
        <f>C15+C25+C33+C34</f>
        <v>214.154</v>
      </c>
    </row>
    <row r="36" spans="1:3" ht="15.75" x14ac:dyDescent="0.25">
      <c r="A36" s="14" t="s">
        <v>28</v>
      </c>
      <c r="B36" s="5" t="s">
        <v>72</v>
      </c>
      <c r="C36" s="16">
        <f>C35</f>
        <v>214.154</v>
      </c>
    </row>
    <row r="37" spans="1:3" ht="15.75" x14ac:dyDescent="0.25">
      <c r="A37" s="14" t="s">
        <v>29</v>
      </c>
      <c r="B37" s="5" t="s">
        <v>437</v>
      </c>
      <c r="C37" s="16">
        <f>SUM(C36*84)</f>
        <v>17988.936000000002</v>
      </c>
    </row>
    <row r="38" spans="1:3" ht="15.6" x14ac:dyDescent="0.3">
      <c r="A38" s="14"/>
      <c r="B38" s="4"/>
      <c r="C38" s="12"/>
    </row>
    <row r="39" spans="1:3" ht="15.75" x14ac:dyDescent="0.25">
      <c r="A39" s="8"/>
      <c r="C39" s="15"/>
    </row>
    <row r="40" spans="1:3" ht="15.75" x14ac:dyDescent="0.25">
      <c r="A40" s="8"/>
      <c r="B40" s="22" t="s">
        <v>277</v>
      </c>
      <c r="C40" s="15"/>
    </row>
    <row r="41" spans="1:3" ht="15.75" x14ac:dyDescent="0.25">
      <c r="A41" s="8"/>
    </row>
    <row r="42" spans="1:3" ht="15.75" x14ac:dyDescent="0.25">
      <c r="A42" s="8"/>
    </row>
    <row r="43" spans="1:3" ht="15.75" x14ac:dyDescent="0.25">
      <c r="A43" s="8"/>
    </row>
    <row r="44" spans="1:3" ht="15.75" x14ac:dyDescent="0.25">
      <c r="A44" s="8"/>
      <c r="B44" s="125" t="s">
        <v>74</v>
      </c>
      <c r="C44" s="125"/>
    </row>
  </sheetData>
  <mergeCells count="2">
    <mergeCell ref="B6:C6"/>
    <mergeCell ref="B44:C44"/>
  </mergeCells>
  <pageMargins left="0.7" right="0.7" top="0.75" bottom="0.75" header="0.3" footer="0.3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opLeftCell="A16" workbookViewId="0">
      <selection activeCell="B37" sqref="B37"/>
    </sheetView>
  </sheetViews>
  <sheetFormatPr defaultRowHeight="15" x14ac:dyDescent="0.25"/>
  <cols>
    <col min="1" max="1" width="4.7109375" customWidth="1"/>
    <col min="2" max="2" width="74.5703125" customWidth="1"/>
    <col min="3" max="3" width="12.140625" customWidth="1"/>
  </cols>
  <sheetData>
    <row r="1" spans="1:3" ht="15.75" x14ac:dyDescent="0.25">
      <c r="A1" s="8"/>
    </row>
    <row r="2" spans="1:3" ht="15.75" x14ac:dyDescent="0.25">
      <c r="A2" s="8"/>
      <c r="B2" s="45" t="s">
        <v>31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ht="15.75" x14ac:dyDescent="0.25">
      <c r="A6" s="8"/>
      <c r="B6" s="126" t="s">
        <v>80</v>
      </c>
      <c r="C6" s="126"/>
    </row>
    <row r="7" spans="1:3" ht="16.5" thickBot="1" x14ac:dyDescent="0.3">
      <c r="A7" s="8"/>
      <c r="B7" s="45" t="s">
        <v>370</v>
      </c>
      <c r="C7" s="11"/>
    </row>
    <row r="8" spans="1:3" ht="15.75" x14ac:dyDescent="0.25">
      <c r="A8" s="9" t="s">
        <v>2</v>
      </c>
      <c r="B8" s="110" t="s">
        <v>4</v>
      </c>
      <c r="C8" s="111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5" t="s">
        <v>6</v>
      </c>
      <c r="C10" s="12"/>
    </row>
    <row r="11" spans="1:3" ht="15.75" x14ac:dyDescent="0.25">
      <c r="A11" s="6"/>
      <c r="B11" s="4" t="s">
        <v>71</v>
      </c>
      <c r="C11" s="12"/>
    </row>
    <row r="12" spans="1:3" ht="15.75" x14ac:dyDescent="0.25">
      <c r="A12" s="6"/>
      <c r="B12" s="4" t="s">
        <v>380</v>
      </c>
      <c r="C12" s="12"/>
    </row>
    <row r="13" spans="1:3" ht="15.75" x14ac:dyDescent="0.25">
      <c r="A13" s="6"/>
      <c r="B13" s="4" t="s">
        <v>8</v>
      </c>
      <c r="C13" s="12"/>
    </row>
    <row r="14" spans="1:3" ht="15.75" x14ac:dyDescent="0.25">
      <c r="A14" s="6"/>
      <c r="B14" s="4" t="s">
        <v>56</v>
      </c>
      <c r="C14" s="12"/>
    </row>
    <row r="15" spans="1:3" ht="15.75" x14ac:dyDescent="0.25">
      <c r="A15" s="14" t="s">
        <v>10</v>
      </c>
      <c r="B15" s="5" t="s">
        <v>11</v>
      </c>
      <c r="C15" s="16">
        <v>54.04</v>
      </c>
    </row>
    <row r="16" spans="1:3" ht="15.75" x14ac:dyDescent="0.25">
      <c r="A16" s="6"/>
      <c r="B16" s="4" t="s">
        <v>381</v>
      </c>
      <c r="C16" s="16">
        <f>SUM(C17/21)</f>
        <v>54.761904761904759</v>
      </c>
    </row>
    <row r="17" spans="1:3" ht="15.75" x14ac:dyDescent="0.25">
      <c r="A17" s="6"/>
      <c r="B17" s="4" t="s">
        <v>58</v>
      </c>
      <c r="C17" s="16">
        <f>C18+C19</f>
        <v>1150</v>
      </c>
    </row>
    <row r="18" spans="1:3" ht="15.75" x14ac:dyDescent="0.25">
      <c r="A18" s="6"/>
      <c r="B18" s="4" t="s">
        <v>13</v>
      </c>
      <c r="C18" s="12">
        <v>1000</v>
      </c>
    </row>
    <row r="19" spans="1:3" ht="15.75" x14ac:dyDescent="0.25">
      <c r="A19" s="6"/>
      <c r="B19" s="4" t="s">
        <v>14</v>
      </c>
      <c r="C19" s="12">
        <v>150</v>
      </c>
    </row>
    <row r="20" spans="1:3" ht="15.75" x14ac:dyDescent="0.25">
      <c r="A20" s="6"/>
      <c r="B20" s="17" t="s">
        <v>93</v>
      </c>
      <c r="C20" s="12">
        <v>150</v>
      </c>
    </row>
    <row r="21" spans="1:3" ht="15.75" x14ac:dyDescent="0.25">
      <c r="A21" s="6"/>
      <c r="B21" s="4" t="s">
        <v>17</v>
      </c>
      <c r="C21" s="16">
        <f>SUM(C22:C24)</f>
        <v>9.2845523809523822</v>
      </c>
    </row>
    <row r="22" spans="1:3" ht="15.75" x14ac:dyDescent="0.25">
      <c r="A22" s="6"/>
      <c r="B22" s="4" t="s">
        <v>382</v>
      </c>
      <c r="C22" s="12">
        <f>SUM(C16*12.02%)</f>
        <v>6.5823809523809524</v>
      </c>
    </row>
    <row r="23" spans="1:3" ht="15.75" x14ac:dyDescent="0.25">
      <c r="A23" s="6"/>
      <c r="B23" s="4" t="s">
        <v>383</v>
      </c>
      <c r="C23" s="12">
        <f>SUM(C16*4.8%)</f>
        <v>2.6285714285714286</v>
      </c>
    </row>
    <row r="24" spans="1:3" ht="15.75" x14ac:dyDescent="0.25">
      <c r="A24" s="6"/>
      <c r="B24" s="4" t="s">
        <v>384</v>
      </c>
      <c r="C24" s="12">
        <f>SUM(C23*2.8%)</f>
        <v>7.3599999999999999E-2</v>
      </c>
    </row>
    <row r="25" spans="1:3" ht="15.75" x14ac:dyDescent="0.25">
      <c r="A25" s="14" t="s">
        <v>1</v>
      </c>
      <c r="B25" s="5" t="s">
        <v>18</v>
      </c>
      <c r="C25" s="16">
        <f>C26+C27</f>
        <v>138.83000000000001</v>
      </c>
    </row>
    <row r="26" spans="1:3" ht="15.75" x14ac:dyDescent="0.25">
      <c r="A26" s="6"/>
      <c r="B26" s="4" t="s">
        <v>390</v>
      </c>
      <c r="C26" s="25">
        <v>135.30000000000001</v>
      </c>
    </row>
    <row r="27" spans="1:3" ht="15.75" x14ac:dyDescent="0.25">
      <c r="A27" s="6"/>
      <c r="B27" s="4" t="s">
        <v>19</v>
      </c>
      <c r="C27" s="16">
        <f>SUM(C29+C32)</f>
        <v>3.53</v>
      </c>
    </row>
    <row r="28" spans="1:3" ht="15.75" x14ac:dyDescent="0.25">
      <c r="A28" s="6"/>
      <c r="B28" s="4" t="s">
        <v>48</v>
      </c>
      <c r="C28" s="16"/>
    </row>
    <row r="29" spans="1:3" ht="15.75" x14ac:dyDescent="0.25">
      <c r="A29" s="6"/>
      <c r="B29" s="27" t="s">
        <v>124</v>
      </c>
      <c r="C29" s="25">
        <v>0.25</v>
      </c>
    </row>
    <row r="30" spans="1:3" ht="15.75" x14ac:dyDescent="0.25">
      <c r="A30" s="6"/>
      <c r="B30" s="63" t="s">
        <v>385</v>
      </c>
      <c r="C30" s="12"/>
    </row>
    <row r="31" spans="1:3" ht="15.6" customHeight="1" x14ac:dyDescent="0.25">
      <c r="A31" s="6"/>
      <c r="B31" s="63" t="s">
        <v>225</v>
      </c>
      <c r="C31" s="12"/>
    </row>
    <row r="32" spans="1:3" ht="15.75" x14ac:dyDescent="0.25">
      <c r="A32" s="6"/>
      <c r="B32" s="63" t="s">
        <v>391</v>
      </c>
      <c r="C32" s="12">
        <v>3.28</v>
      </c>
    </row>
    <row r="33" spans="1:3" ht="15.75" x14ac:dyDescent="0.25">
      <c r="A33" s="14" t="s">
        <v>25</v>
      </c>
      <c r="B33" s="5" t="s">
        <v>392</v>
      </c>
      <c r="C33" s="16">
        <f>SUM(C25*0.3)</f>
        <v>41.649000000000001</v>
      </c>
    </row>
    <row r="34" spans="1:3" ht="15.75" x14ac:dyDescent="0.25">
      <c r="A34" s="14" t="s">
        <v>26</v>
      </c>
      <c r="B34" s="5" t="s">
        <v>188</v>
      </c>
      <c r="C34" s="16">
        <f>SUM(C15*1.2)</f>
        <v>64.847999999999999</v>
      </c>
    </row>
    <row r="35" spans="1:3" ht="15.75" x14ac:dyDescent="0.25">
      <c r="A35" s="14" t="s">
        <v>27</v>
      </c>
      <c r="B35" s="5" t="s">
        <v>30</v>
      </c>
      <c r="C35" s="16">
        <f>C15+C25+C33+C34</f>
        <v>299.36700000000002</v>
      </c>
    </row>
    <row r="36" spans="1:3" ht="15.75" x14ac:dyDescent="0.25">
      <c r="A36" s="14" t="s">
        <v>28</v>
      </c>
      <c r="B36" s="5" t="s">
        <v>72</v>
      </c>
      <c r="C36" s="16">
        <f>C35</f>
        <v>299.36700000000002</v>
      </c>
    </row>
    <row r="37" spans="1:3" ht="15.75" x14ac:dyDescent="0.25">
      <c r="A37" s="14" t="s">
        <v>29</v>
      </c>
      <c r="B37" s="5" t="s">
        <v>438</v>
      </c>
      <c r="C37" s="97">
        <f>SUM(C36*63)</f>
        <v>18860.121000000003</v>
      </c>
    </row>
    <row r="38" spans="1:3" ht="15.6" x14ac:dyDescent="0.3">
      <c r="A38" s="14"/>
      <c r="B38" s="4"/>
      <c r="C38" s="12"/>
    </row>
    <row r="39" spans="1:3" ht="15.75" x14ac:dyDescent="0.25">
      <c r="A39" s="8"/>
      <c r="C39" s="15"/>
    </row>
    <row r="40" spans="1:3" ht="15.75" x14ac:dyDescent="0.25">
      <c r="A40" s="8"/>
      <c r="B40" s="22" t="s">
        <v>258</v>
      </c>
      <c r="C40" s="15"/>
    </row>
    <row r="41" spans="1:3" ht="15.75" x14ac:dyDescent="0.25">
      <c r="A41" s="8"/>
    </row>
    <row r="42" spans="1:3" ht="15.75" x14ac:dyDescent="0.25">
      <c r="A42" s="8"/>
    </row>
    <row r="43" spans="1:3" ht="15.75" x14ac:dyDescent="0.25">
      <c r="A43" s="8"/>
    </row>
    <row r="44" spans="1:3" ht="15.75" x14ac:dyDescent="0.25">
      <c r="A44" s="8"/>
      <c r="B44" s="131" t="s">
        <v>74</v>
      </c>
      <c r="C44" s="131"/>
    </row>
  </sheetData>
  <mergeCells count="2">
    <mergeCell ref="B6:C6"/>
    <mergeCell ref="B44:C44"/>
  </mergeCells>
  <pageMargins left="0.7" right="0.7" top="0.75" bottom="0.75" header="0.3" footer="0.3"/>
  <pageSetup paperSize="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5"/>
  <sheetViews>
    <sheetView topLeftCell="A25" workbookViewId="0">
      <selection activeCell="B40" sqref="B40"/>
    </sheetView>
  </sheetViews>
  <sheetFormatPr defaultRowHeight="15" x14ac:dyDescent="0.25"/>
  <cols>
    <col min="1" max="1" width="4.85546875" customWidth="1"/>
    <col min="2" max="2" width="68.7109375" customWidth="1"/>
    <col min="3" max="3" width="13.7109375" customWidth="1"/>
  </cols>
  <sheetData>
    <row r="2" spans="1:3" ht="15.75" x14ac:dyDescent="0.25">
      <c r="A2" s="8"/>
      <c r="C2" s="15"/>
    </row>
    <row r="3" spans="1:3" ht="15.75" x14ac:dyDescent="0.25">
      <c r="A3" s="8"/>
      <c r="B3" s="61" t="s">
        <v>85</v>
      </c>
    </row>
    <row r="4" spans="1:3" ht="15.75" x14ac:dyDescent="0.25">
      <c r="A4" s="8"/>
      <c r="B4" s="7"/>
      <c r="C4" s="55"/>
    </row>
    <row r="5" spans="1:3" ht="18.75" x14ac:dyDescent="0.3">
      <c r="A5" s="8"/>
      <c r="B5" s="18" t="s">
        <v>32</v>
      </c>
    </row>
    <row r="6" spans="1:3" ht="18.75" x14ac:dyDescent="0.3">
      <c r="A6" s="8"/>
      <c r="B6" s="18"/>
    </row>
    <row r="7" spans="1:3" ht="29.25" x14ac:dyDescent="0.25">
      <c r="A7" s="8"/>
      <c r="B7" s="92" t="s">
        <v>91</v>
      </c>
      <c r="C7" s="92"/>
    </row>
    <row r="8" spans="1:3" ht="16.5" thickBot="1" x14ac:dyDescent="0.3">
      <c r="A8" s="8"/>
      <c r="B8" s="61" t="s">
        <v>370</v>
      </c>
      <c r="C8" s="11"/>
    </row>
    <row r="9" spans="1:3" ht="15.75" x14ac:dyDescent="0.25">
      <c r="A9" s="9" t="s">
        <v>2</v>
      </c>
      <c r="B9" s="13" t="s">
        <v>4</v>
      </c>
      <c r="C9" s="2" t="s">
        <v>5</v>
      </c>
    </row>
    <row r="10" spans="1:3" ht="15.75" x14ac:dyDescent="0.25">
      <c r="A10" s="10" t="s">
        <v>3</v>
      </c>
      <c r="B10" s="3"/>
      <c r="C10" s="3"/>
    </row>
    <row r="11" spans="1:3" ht="15.75" x14ac:dyDescent="0.25">
      <c r="A11" s="14" t="s">
        <v>0</v>
      </c>
      <c r="B11" s="5" t="s">
        <v>6</v>
      </c>
      <c r="C11" s="12"/>
    </row>
    <row r="12" spans="1:3" ht="15.75" x14ac:dyDescent="0.25">
      <c r="A12" s="6"/>
      <c r="B12" s="4" t="s">
        <v>90</v>
      </c>
      <c r="C12" s="12"/>
    </row>
    <row r="13" spans="1:3" ht="15.75" x14ac:dyDescent="0.25">
      <c r="A13" s="6"/>
      <c r="B13" s="4" t="s">
        <v>7</v>
      </c>
      <c r="C13" s="12"/>
    </row>
    <row r="14" spans="1:3" ht="15.75" x14ac:dyDescent="0.25">
      <c r="A14" s="6"/>
      <c r="B14" s="4" t="s">
        <v>8</v>
      </c>
      <c r="C14" s="12"/>
    </row>
    <row r="15" spans="1:3" ht="15.75" x14ac:dyDescent="0.25">
      <c r="A15" s="6"/>
      <c r="B15" s="4" t="s">
        <v>9</v>
      </c>
      <c r="C15" s="12"/>
    </row>
    <row r="16" spans="1:3" ht="15.75" x14ac:dyDescent="0.25">
      <c r="A16" s="14" t="s">
        <v>10</v>
      </c>
      <c r="B16" s="5" t="s">
        <v>11</v>
      </c>
      <c r="C16" s="16">
        <f>SUM(C17+C22)</f>
        <v>58.300509523809524</v>
      </c>
    </row>
    <row r="17" spans="1:3" ht="15.75" x14ac:dyDescent="0.25">
      <c r="A17" s="6"/>
      <c r="B17" s="4" t="s">
        <v>389</v>
      </c>
      <c r="C17" s="16">
        <f>C18/21</f>
        <v>48.738095238095241</v>
      </c>
    </row>
    <row r="18" spans="1:3" ht="15.75" x14ac:dyDescent="0.25">
      <c r="A18" s="6"/>
      <c r="B18" s="4" t="s">
        <v>58</v>
      </c>
      <c r="C18" s="16">
        <f>SUM(C19+C20)</f>
        <v>1023.5</v>
      </c>
    </row>
    <row r="19" spans="1:3" ht="15.75" x14ac:dyDescent="0.25">
      <c r="A19" s="6"/>
      <c r="B19" s="4" t="s">
        <v>13</v>
      </c>
      <c r="C19" s="12">
        <v>890</v>
      </c>
    </row>
    <row r="20" spans="1:3" ht="15.75" x14ac:dyDescent="0.25">
      <c r="A20" s="6"/>
      <c r="B20" s="4" t="s">
        <v>14</v>
      </c>
      <c r="C20" s="12">
        <f>SUM(C21)</f>
        <v>133.5</v>
      </c>
    </row>
    <row r="21" spans="1:3" ht="15.75" x14ac:dyDescent="0.25">
      <c r="A21" s="6"/>
      <c r="B21" s="17" t="s">
        <v>59</v>
      </c>
      <c r="C21" s="12">
        <v>133.5</v>
      </c>
    </row>
    <row r="22" spans="1:3" ht="15.75" x14ac:dyDescent="0.25">
      <c r="A22" s="6"/>
      <c r="B22" s="4" t="s">
        <v>17</v>
      </c>
      <c r="C22" s="16">
        <f>SUM(C23:C25)</f>
        <v>9.5624142857142864</v>
      </c>
    </row>
    <row r="23" spans="1:3" ht="15.75" x14ac:dyDescent="0.25">
      <c r="A23" s="6"/>
      <c r="B23" s="4" t="s">
        <v>425</v>
      </c>
      <c r="C23" s="12">
        <f>C17*12.02%</f>
        <v>5.8583190476190481</v>
      </c>
    </row>
    <row r="24" spans="1:3" ht="15.75" x14ac:dyDescent="0.25">
      <c r="A24" s="6"/>
      <c r="B24" s="4" t="s">
        <v>421</v>
      </c>
      <c r="C24" s="12">
        <f>C17*4.8%</f>
        <v>2.3394285714285714</v>
      </c>
    </row>
    <row r="25" spans="1:3" ht="15.75" x14ac:dyDescent="0.25">
      <c r="A25" s="6"/>
      <c r="B25" s="4" t="s">
        <v>422</v>
      </c>
      <c r="C25" s="12">
        <f>SUM(C17*2.8%)</f>
        <v>1.3646666666666667</v>
      </c>
    </row>
    <row r="26" spans="1:3" ht="15.75" x14ac:dyDescent="0.25">
      <c r="A26" s="14" t="s">
        <v>1</v>
      </c>
      <c r="B26" s="5" t="s">
        <v>18</v>
      </c>
      <c r="C26" s="16">
        <f>SUM(C28+C27)</f>
        <v>74.070000000000007</v>
      </c>
    </row>
    <row r="27" spans="1:3" ht="15.75" x14ac:dyDescent="0.25">
      <c r="A27" s="6"/>
      <c r="B27" s="4" t="s">
        <v>386</v>
      </c>
      <c r="C27" s="16">
        <v>66.53</v>
      </c>
    </row>
    <row r="28" spans="1:3" ht="15.75" x14ac:dyDescent="0.25">
      <c r="A28" s="6"/>
      <c r="B28" s="4" t="s">
        <v>19</v>
      </c>
      <c r="C28" s="16">
        <f>SUM(C30:C35)</f>
        <v>7.54</v>
      </c>
    </row>
    <row r="29" spans="1:3" ht="15.75" x14ac:dyDescent="0.25">
      <c r="A29" s="6"/>
      <c r="B29" s="4" t="s">
        <v>48</v>
      </c>
      <c r="C29" s="16"/>
    </row>
    <row r="30" spans="1:3" ht="15.75" x14ac:dyDescent="0.25">
      <c r="A30" s="6"/>
      <c r="B30" s="27" t="s">
        <v>125</v>
      </c>
      <c r="C30" s="25">
        <v>0.76</v>
      </c>
    </row>
    <row r="31" spans="1:3" ht="15.75" x14ac:dyDescent="0.25">
      <c r="A31" s="6"/>
      <c r="B31" s="4" t="s">
        <v>227</v>
      </c>
      <c r="C31" s="12"/>
    </row>
    <row r="32" spans="1:3" ht="15.75" x14ac:dyDescent="0.25">
      <c r="A32" s="6"/>
      <c r="B32" s="4" t="s">
        <v>228</v>
      </c>
      <c r="C32" s="12"/>
    </row>
    <row r="33" spans="1:3" ht="15.75" x14ac:dyDescent="0.25">
      <c r="A33" s="6"/>
      <c r="B33" s="27" t="s">
        <v>126</v>
      </c>
      <c r="C33" s="12">
        <v>6.45</v>
      </c>
    </row>
    <row r="34" spans="1:3" ht="18" customHeight="1" x14ac:dyDescent="0.25">
      <c r="A34" s="6"/>
      <c r="B34" s="4" t="s">
        <v>226</v>
      </c>
      <c r="C34" s="12"/>
    </row>
    <row r="35" spans="1:3" ht="15.75" x14ac:dyDescent="0.25">
      <c r="A35" s="6"/>
      <c r="B35" s="26" t="s">
        <v>387</v>
      </c>
      <c r="C35" s="12">
        <v>0.33</v>
      </c>
    </row>
    <row r="36" spans="1:3" ht="15.75" x14ac:dyDescent="0.25">
      <c r="A36" s="14" t="s">
        <v>25</v>
      </c>
      <c r="B36" s="5" t="s">
        <v>388</v>
      </c>
      <c r="C36" s="16">
        <f>C26*30%</f>
        <v>22.221</v>
      </c>
    </row>
    <row r="37" spans="1:3" ht="15.75" x14ac:dyDescent="0.25">
      <c r="A37" s="14" t="s">
        <v>26</v>
      </c>
      <c r="B37" s="5" t="s">
        <v>423</v>
      </c>
      <c r="C37" s="16">
        <f>SUM(C16*1.2)</f>
        <v>69.960611428571426</v>
      </c>
    </row>
    <row r="38" spans="1:3" ht="15.75" x14ac:dyDescent="0.25">
      <c r="A38" s="14" t="s">
        <v>27</v>
      </c>
      <c r="B38" s="5" t="s">
        <v>30</v>
      </c>
      <c r="C38" s="16">
        <f>C37+C36+C26+C16</f>
        <v>224.55212095238096</v>
      </c>
    </row>
    <row r="39" spans="1:3" ht="15.75" x14ac:dyDescent="0.25">
      <c r="A39" s="14" t="s">
        <v>28</v>
      </c>
      <c r="B39" s="5" t="s">
        <v>424</v>
      </c>
      <c r="C39" s="16">
        <f>SUM(C38/4)</f>
        <v>56.13803023809524</v>
      </c>
    </row>
    <row r="40" spans="1:3" ht="15.75" x14ac:dyDescent="0.25">
      <c r="A40" s="14" t="s">
        <v>29</v>
      </c>
      <c r="B40" s="5" t="s">
        <v>439</v>
      </c>
      <c r="C40" s="16">
        <f>SUM(C38*84)</f>
        <v>18862.37816</v>
      </c>
    </row>
    <row r="41" spans="1:3" ht="15.6" x14ac:dyDescent="0.3">
      <c r="A41" s="14"/>
      <c r="B41" s="4"/>
      <c r="C41" s="12"/>
    </row>
    <row r="42" spans="1:3" ht="15.6" x14ac:dyDescent="0.3">
      <c r="A42" s="8"/>
      <c r="C42" s="15"/>
    </row>
    <row r="43" spans="1:3" ht="15.75" x14ac:dyDescent="0.25">
      <c r="A43" s="8"/>
      <c r="B43" s="22" t="s">
        <v>258</v>
      </c>
      <c r="C43" s="15"/>
    </row>
    <row r="44" spans="1:3" ht="15.6" x14ac:dyDescent="0.3">
      <c r="A44" s="8"/>
      <c r="B44" s="22"/>
      <c r="C44" s="15"/>
    </row>
    <row r="45" spans="1:3" ht="15.75" x14ac:dyDescent="0.25">
      <c r="A45" s="8"/>
      <c r="B45" s="131" t="s">
        <v>74</v>
      </c>
      <c r="C45" s="131"/>
    </row>
  </sheetData>
  <mergeCells count="1">
    <mergeCell ref="B45:C45"/>
  </mergeCells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8"/>
  <sheetViews>
    <sheetView topLeftCell="A25" zoomScaleNormal="100" workbookViewId="0">
      <selection activeCell="B39" sqref="B39"/>
    </sheetView>
  </sheetViews>
  <sheetFormatPr defaultRowHeight="15" x14ac:dyDescent="0.25"/>
  <cols>
    <col min="1" max="1" width="8.140625" customWidth="1"/>
    <col min="2" max="2" width="74.28515625" customWidth="1"/>
    <col min="3" max="3" width="15.28515625" customWidth="1"/>
  </cols>
  <sheetData>
    <row r="2" spans="1:3" ht="15.75" x14ac:dyDescent="0.25">
      <c r="A2" s="66"/>
      <c r="B2" s="62"/>
      <c r="C2" s="62"/>
    </row>
    <row r="3" spans="1:3" ht="15.75" x14ac:dyDescent="0.25">
      <c r="A3" s="66"/>
      <c r="B3" s="93" t="s">
        <v>85</v>
      </c>
      <c r="C3" s="62"/>
    </row>
    <row r="4" spans="1:3" ht="15.75" x14ac:dyDescent="0.25">
      <c r="A4" s="66"/>
      <c r="B4" s="7"/>
      <c r="C4" s="62"/>
    </row>
    <row r="5" spans="1:3" ht="18.75" x14ac:dyDescent="0.3">
      <c r="A5" s="66"/>
      <c r="B5" s="18" t="s">
        <v>32</v>
      </c>
      <c r="C5" s="62"/>
    </row>
    <row r="6" spans="1:3" ht="18.75" x14ac:dyDescent="0.3">
      <c r="A6" s="66"/>
      <c r="B6" s="18"/>
      <c r="C6" s="62"/>
    </row>
    <row r="7" spans="1:3" ht="15.75" x14ac:dyDescent="0.25">
      <c r="A7" s="66"/>
      <c r="B7" s="126" t="s">
        <v>197</v>
      </c>
      <c r="C7" s="126"/>
    </row>
    <row r="8" spans="1:3" ht="16.5" thickBot="1" x14ac:dyDescent="0.3">
      <c r="A8" s="66"/>
      <c r="B8" s="93" t="s">
        <v>370</v>
      </c>
      <c r="C8" s="11"/>
    </row>
    <row r="9" spans="1:3" ht="15.75" x14ac:dyDescent="0.25">
      <c r="A9" s="9" t="s">
        <v>2</v>
      </c>
      <c r="B9" s="13" t="s">
        <v>4</v>
      </c>
      <c r="C9" s="2" t="s">
        <v>5</v>
      </c>
    </row>
    <row r="10" spans="1:3" ht="15.75" x14ac:dyDescent="0.25">
      <c r="A10" s="10" t="s">
        <v>3</v>
      </c>
      <c r="B10" s="3"/>
      <c r="C10" s="3"/>
    </row>
    <row r="11" spans="1:3" ht="15.75" x14ac:dyDescent="0.25">
      <c r="A11" s="68" t="s">
        <v>0</v>
      </c>
      <c r="B11" s="64" t="s">
        <v>6</v>
      </c>
      <c r="C11" s="67"/>
    </row>
    <row r="12" spans="1:3" ht="15.75" x14ac:dyDescent="0.25">
      <c r="A12" s="65"/>
      <c r="B12" s="63" t="s">
        <v>71</v>
      </c>
      <c r="C12" s="67"/>
    </row>
    <row r="13" spans="1:3" ht="15.75" x14ac:dyDescent="0.25">
      <c r="A13" s="65"/>
      <c r="B13" s="63" t="s">
        <v>7</v>
      </c>
      <c r="C13" s="67"/>
    </row>
    <row r="14" spans="1:3" ht="15.75" x14ac:dyDescent="0.25">
      <c r="A14" s="65"/>
      <c r="B14" s="63" t="s">
        <v>8</v>
      </c>
      <c r="C14" s="67"/>
    </row>
    <row r="15" spans="1:3" ht="15.75" x14ac:dyDescent="0.25">
      <c r="A15" s="65"/>
      <c r="B15" s="63" t="s">
        <v>56</v>
      </c>
      <c r="C15" s="67"/>
    </row>
    <row r="16" spans="1:3" ht="15.75" x14ac:dyDescent="0.25">
      <c r="A16" s="68" t="s">
        <v>10</v>
      </c>
      <c r="B16" s="64" t="s">
        <v>11</v>
      </c>
      <c r="C16" s="70">
        <f>SUM(C17+C23)</f>
        <v>217.5944761904762</v>
      </c>
    </row>
    <row r="17" spans="1:3" ht="15.75" x14ac:dyDescent="0.25">
      <c r="A17" s="65"/>
      <c r="B17" s="63" t="s">
        <v>413</v>
      </c>
      <c r="C17" s="70">
        <f>SUM(C18+C22)/21</f>
        <v>181.9047619047619</v>
      </c>
    </row>
    <row r="18" spans="1:3" ht="15.75" x14ac:dyDescent="0.25">
      <c r="A18" s="65"/>
      <c r="B18" s="63" t="s">
        <v>58</v>
      </c>
      <c r="C18" s="70">
        <f>SUM(C19:C20)</f>
        <v>1150</v>
      </c>
    </row>
    <row r="19" spans="1:3" ht="15.75" x14ac:dyDescent="0.25">
      <c r="A19" s="65"/>
      <c r="B19" s="63" t="s">
        <v>13</v>
      </c>
      <c r="C19" s="67">
        <v>1000</v>
      </c>
    </row>
    <row r="20" spans="1:3" ht="15.75" x14ac:dyDescent="0.25">
      <c r="A20" s="65"/>
      <c r="B20" s="63" t="s">
        <v>14</v>
      </c>
      <c r="C20" s="67">
        <v>150</v>
      </c>
    </row>
    <row r="21" spans="1:3" ht="15.75" x14ac:dyDescent="0.25">
      <c r="A21" s="65"/>
      <c r="B21" s="71" t="s">
        <v>59</v>
      </c>
      <c r="C21" s="67">
        <v>150</v>
      </c>
    </row>
    <row r="22" spans="1:3" s="62" customFormat="1" ht="15.75" x14ac:dyDescent="0.25">
      <c r="A22" s="65"/>
      <c r="B22" s="63" t="s">
        <v>412</v>
      </c>
      <c r="C22" s="70">
        <v>2670</v>
      </c>
    </row>
    <row r="23" spans="1:3" s="62" customFormat="1" ht="15.75" x14ac:dyDescent="0.25">
      <c r="A23" s="65"/>
      <c r="B23" s="63" t="s">
        <v>17</v>
      </c>
      <c r="C23" s="70">
        <f>SUM(C24:C26)</f>
        <v>35.689714285714288</v>
      </c>
    </row>
    <row r="24" spans="1:3" s="62" customFormat="1" ht="15.75" x14ac:dyDescent="0.25">
      <c r="A24" s="65"/>
      <c r="B24" s="63" t="s">
        <v>409</v>
      </c>
      <c r="C24" s="67">
        <f>SUM(C17*12.02%)</f>
        <v>21.864952380952381</v>
      </c>
    </row>
    <row r="25" spans="1:3" s="62" customFormat="1" ht="15.75" x14ac:dyDescent="0.25">
      <c r="A25" s="65"/>
      <c r="B25" s="63" t="s">
        <v>410</v>
      </c>
      <c r="C25" s="67">
        <f>SUM(C17*4.8%)</f>
        <v>8.7314285714285713</v>
      </c>
    </row>
    <row r="26" spans="1:3" s="62" customFormat="1" ht="15.75" x14ac:dyDescent="0.25">
      <c r="A26" s="65"/>
      <c r="B26" s="63" t="s">
        <v>411</v>
      </c>
      <c r="C26" s="67">
        <f>SUM(C17*2.8%)</f>
        <v>5.0933333333333328</v>
      </c>
    </row>
    <row r="27" spans="1:3" ht="15.75" x14ac:dyDescent="0.25">
      <c r="A27" s="68" t="s">
        <v>1</v>
      </c>
      <c r="B27" s="64" t="s">
        <v>18</v>
      </c>
      <c r="C27" s="70">
        <f>C28+C29</f>
        <v>85.789999999999992</v>
      </c>
    </row>
    <row r="28" spans="1:3" ht="15.75" x14ac:dyDescent="0.25">
      <c r="A28" s="65"/>
      <c r="B28" s="63" t="s">
        <v>393</v>
      </c>
      <c r="C28" s="70">
        <v>83.49</v>
      </c>
    </row>
    <row r="29" spans="1:3" ht="15.75" x14ac:dyDescent="0.25">
      <c r="A29" s="65"/>
      <c r="B29" s="63" t="s">
        <v>19</v>
      </c>
      <c r="C29" s="70">
        <f>C31+C34</f>
        <v>2.3000000000000003</v>
      </c>
    </row>
    <row r="30" spans="1:3" ht="15.75" x14ac:dyDescent="0.25">
      <c r="A30" s="65"/>
      <c r="B30" s="63" t="s">
        <v>48</v>
      </c>
      <c r="C30" s="70"/>
    </row>
    <row r="31" spans="1:3" ht="15.75" x14ac:dyDescent="0.25">
      <c r="A31" s="65"/>
      <c r="B31" s="27" t="s">
        <v>121</v>
      </c>
      <c r="C31" s="25">
        <v>0.22</v>
      </c>
    </row>
    <row r="32" spans="1:3" ht="15.75" x14ac:dyDescent="0.25">
      <c r="A32" s="65"/>
      <c r="B32" s="63" t="s">
        <v>385</v>
      </c>
      <c r="C32" s="67"/>
    </row>
    <row r="33" spans="1:3" ht="15.75" x14ac:dyDescent="0.25">
      <c r="A33" s="65"/>
      <c r="B33" s="63" t="s">
        <v>229</v>
      </c>
      <c r="C33" s="67"/>
    </row>
    <row r="34" spans="1:3" ht="15.75" x14ac:dyDescent="0.25">
      <c r="A34" s="65"/>
      <c r="B34" s="63" t="s">
        <v>394</v>
      </c>
      <c r="C34" s="67">
        <v>2.08</v>
      </c>
    </row>
    <row r="35" spans="1:3" ht="15.75" x14ac:dyDescent="0.25">
      <c r="A35" s="68" t="s">
        <v>25</v>
      </c>
      <c r="B35" s="64" t="s">
        <v>395</v>
      </c>
      <c r="C35" s="70">
        <f>SUM(C27*0.3)</f>
        <v>25.736999999999998</v>
      </c>
    </row>
    <row r="36" spans="1:3" ht="15.75" x14ac:dyDescent="0.25">
      <c r="A36" s="68" t="s">
        <v>26</v>
      </c>
      <c r="B36" s="64" t="s">
        <v>414</v>
      </c>
      <c r="C36" s="70">
        <f>SUM(C16*1.2)</f>
        <v>261.11337142857144</v>
      </c>
    </row>
    <row r="37" spans="1:3" ht="15.75" x14ac:dyDescent="0.25">
      <c r="A37" s="68" t="s">
        <v>27</v>
      </c>
      <c r="B37" s="64" t="s">
        <v>30</v>
      </c>
      <c r="C37" s="70">
        <f>SUM(C16+C27+C35+C36)</f>
        <v>590.23484761904774</v>
      </c>
    </row>
    <row r="38" spans="1:3" ht="15.75" x14ac:dyDescent="0.25">
      <c r="A38" s="68" t="s">
        <v>28</v>
      </c>
      <c r="B38" s="64" t="s">
        <v>72</v>
      </c>
      <c r="C38" s="70">
        <f>SUM(C37)</f>
        <v>590.23484761904774</v>
      </c>
    </row>
    <row r="39" spans="1:3" ht="15.75" x14ac:dyDescent="0.25">
      <c r="A39" s="68" t="s">
        <v>29</v>
      </c>
      <c r="B39" s="64" t="s">
        <v>440</v>
      </c>
      <c r="C39" s="70">
        <f>SUM(C38*210)</f>
        <v>123949.31800000003</v>
      </c>
    </row>
    <row r="40" spans="1:3" ht="15.75" x14ac:dyDescent="0.25">
      <c r="A40" s="68"/>
      <c r="B40" s="63"/>
      <c r="C40" s="67"/>
    </row>
    <row r="41" spans="1:3" ht="15.75" x14ac:dyDescent="0.25">
      <c r="A41" s="66"/>
      <c r="B41" s="62"/>
      <c r="C41" s="69"/>
    </row>
    <row r="42" spans="1:3" ht="15.75" x14ac:dyDescent="0.25">
      <c r="A42" s="66"/>
      <c r="B42" s="72" t="s">
        <v>258</v>
      </c>
      <c r="C42" s="69"/>
    </row>
    <row r="43" spans="1:3" ht="15.75" x14ac:dyDescent="0.25">
      <c r="A43" s="66"/>
      <c r="B43" s="62"/>
      <c r="C43" s="62"/>
    </row>
    <row r="44" spans="1:3" ht="15.75" x14ac:dyDescent="0.25">
      <c r="A44" s="66"/>
      <c r="B44" s="62"/>
      <c r="C44" s="62"/>
    </row>
    <row r="45" spans="1:3" ht="15.75" x14ac:dyDescent="0.25">
      <c r="A45" s="66"/>
      <c r="B45" s="62"/>
      <c r="C45" s="62"/>
    </row>
    <row r="46" spans="1:3" ht="15.75" x14ac:dyDescent="0.25">
      <c r="A46" s="66"/>
      <c r="B46" s="125" t="s">
        <v>74</v>
      </c>
      <c r="C46" s="125"/>
    </row>
    <row r="47" spans="1:3" x14ac:dyDescent="0.25">
      <c r="A47" s="62"/>
      <c r="B47" s="62"/>
      <c r="C47" s="62"/>
    </row>
    <row r="48" spans="1:3" x14ac:dyDescent="0.25">
      <c r="A48" s="62"/>
      <c r="B48" s="62"/>
      <c r="C48" s="62"/>
    </row>
  </sheetData>
  <mergeCells count="2">
    <mergeCell ref="B7:C7"/>
    <mergeCell ref="B46:C46"/>
  </mergeCells>
  <pageMargins left="0.7" right="0.7" top="0.75" bottom="0.75" header="0.3" footer="0.3"/>
  <pageSetup paperSize="9" scale="9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topLeftCell="A26" zoomScale="120" zoomScaleNormal="120" workbookViewId="0">
      <selection activeCell="B39" sqref="B39"/>
    </sheetView>
  </sheetViews>
  <sheetFormatPr defaultRowHeight="15" x14ac:dyDescent="0.25"/>
  <cols>
    <col min="2" max="2" width="78.85546875" customWidth="1"/>
    <col min="3" max="3" width="15.42578125" customWidth="1"/>
  </cols>
  <sheetData>
    <row r="1" spans="1:3" ht="15.75" x14ac:dyDescent="0.25">
      <c r="A1" s="8"/>
    </row>
    <row r="2" spans="1:3" ht="15.75" x14ac:dyDescent="0.25">
      <c r="A2" s="8"/>
      <c r="B2" s="33" t="s">
        <v>31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ht="15.75" thickBot="1" x14ac:dyDescent="0.3">
      <c r="A6" s="124" t="s">
        <v>253</v>
      </c>
      <c r="B6" s="124"/>
      <c r="C6" s="124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5" t="s">
        <v>6</v>
      </c>
      <c r="C9" s="12"/>
    </row>
    <row r="10" spans="1:3" ht="15.75" x14ac:dyDescent="0.25">
      <c r="A10" s="6"/>
      <c r="B10" s="4" t="s">
        <v>57</v>
      </c>
      <c r="C10" s="12"/>
    </row>
    <row r="11" spans="1:3" ht="15.75" x14ac:dyDescent="0.25">
      <c r="A11" s="6"/>
      <c r="B11" s="4" t="s">
        <v>7</v>
      </c>
      <c r="C11" s="12"/>
    </row>
    <row r="12" spans="1:3" ht="15.75" x14ac:dyDescent="0.25">
      <c r="A12" s="6"/>
      <c r="B12" s="4" t="s">
        <v>8</v>
      </c>
      <c r="C12" s="12"/>
    </row>
    <row r="13" spans="1:3" ht="15.75" x14ac:dyDescent="0.25">
      <c r="A13" s="6"/>
      <c r="B13" s="4" t="s">
        <v>202</v>
      </c>
      <c r="C13" s="12"/>
    </row>
    <row r="14" spans="1:3" ht="15.75" x14ac:dyDescent="0.25">
      <c r="A14" s="14" t="s">
        <v>10</v>
      </c>
      <c r="B14" s="5" t="s">
        <v>11</v>
      </c>
      <c r="C14" s="16">
        <f>SUM(C15+C21)</f>
        <v>315.3297123809524</v>
      </c>
    </row>
    <row r="15" spans="1:3" ht="15.75" x14ac:dyDescent="0.25">
      <c r="A15" s="6"/>
      <c r="B15" s="63" t="s">
        <v>404</v>
      </c>
      <c r="C15" s="16">
        <f>SUM(C16+C20)/21</f>
        <v>263.60952380952381</v>
      </c>
    </row>
    <row r="16" spans="1:3" ht="15.75" x14ac:dyDescent="0.25">
      <c r="A16" s="6"/>
      <c r="B16" s="4" t="s">
        <v>12</v>
      </c>
      <c r="C16" s="16">
        <f>SUM(C17:C18)</f>
        <v>1085.8</v>
      </c>
    </row>
    <row r="17" spans="1:3" ht="15.75" x14ac:dyDescent="0.25">
      <c r="A17" s="6"/>
      <c r="B17" s="4" t="s">
        <v>13</v>
      </c>
      <c r="C17" s="12">
        <v>890</v>
      </c>
    </row>
    <row r="18" spans="1:3" ht="15.75" x14ac:dyDescent="0.25">
      <c r="A18" s="6"/>
      <c r="B18" s="4" t="s">
        <v>14</v>
      </c>
      <c r="C18" s="12">
        <v>195.8</v>
      </c>
    </row>
    <row r="19" spans="1:3" ht="15.75" x14ac:dyDescent="0.25">
      <c r="A19" s="6"/>
      <c r="B19" s="71" t="s">
        <v>196</v>
      </c>
      <c r="C19" s="12">
        <v>195.8</v>
      </c>
    </row>
    <row r="20" spans="1:3" s="62" customFormat="1" ht="15.75" x14ac:dyDescent="0.25">
      <c r="A20" s="65"/>
      <c r="B20" s="63" t="s">
        <v>403</v>
      </c>
      <c r="C20" s="70">
        <v>4450</v>
      </c>
    </row>
    <row r="21" spans="1:3" ht="15.75" x14ac:dyDescent="0.25">
      <c r="A21" s="6"/>
      <c r="B21" s="4" t="s">
        <v>17</v>
      </c>
      <c r="C21" s="16">
        <f>SUM(C22:C24)</f>
        <v>51.720188571428579</v>
      </c>
    </row>
    <row r="22" spans="1:3" ht="15.75" x14ac:dyDescent="0.25">
      <c r="A22" s="6"/>
      <c r="B22" s="63" t="s">
        <v>405</v>
      </c>
      <c r="C22" s="12">
        <f>SUM(C15*12.02%)</f>
        <v>31.685864761904764</v>
      </c>
    </row>
    <row r="23" spans="1:3" ht="15.75" x14ac:dyDescent="0.25">
      <c r="A23" s="6"/>
      <c r="B23" s="63" t="s">
        <v>406</v>
      </c>
      <c r="C23" s="67">
        <f>SUM(C15*4.8%)</f>
        <v>12.653257142857143</v>
      </c>
    </row>
    <row r="24" spans="1:3" ht="15.75" x14ac:dyDescent="0.25">
      <c r="A24" s="6"/>
      <c r="B24" s="63" t="s">
        <v>407</v>
      </c>
      <c r="C24" s="67">
        <f>SUM(C15*2.8%)</f>
        <v>7.3810666666666656</v>
      </c>
    </row>
    <row r="25" spans="1:3" ht="15.75" x14ac:dyDescent="0.25">
      <c r="A25" s="14" t="s">
        <v>1</v>
      </c>
      <c r="B25" s="5" t="s">
        <v>18</v>
      </c>
      <c r="C25" s="16">
        <f>C26+C27</f>
        <v>58.94</v>
      </c>
    </row>
    <row r="26" spans="1:3" ht="15.75" x14ac:dyDescent="0.25">
      <c r="A26" s="6"/>
      <c r="B26" s="4" t="s">
        <v>254</v>
      </c>
      <c r="C26" s="16">
        <v>52.8</v>
      </c>
    </row>
    <row r="27" spans="1:3" ht="15.75" x14ac:dyDescent="0.25">
      <c r="A27" s="6"/>
      <c r="B27" s="4" t="s">
        <v>19</v>
      </c>
      <c r="C27" s="16">
        <f>C29+C32+C34</f>
        <v>6.14</v>
      </c>
    </row>
    <row r="28" spans="1:3" ht="15.75" x14ac:dyDescent="0.25">
      <c r="A28" s="6"/>
      <c r="B28" s="4" t="s">
        <v>48</v>
      </c>
      <c r="C28" s="16"/>
    </row>
    <row r="29" spans="1:3" ht="15.75" x14ac:dyDescent="0.25">
      <c r="A29" s="6"/>
      <c r="B29" s="27" t="s">
        <v>118</v>
      </c>
      <c r="C29" s="25">
        <v>0.76</v>
      </c>
    </row>
    <row r="30" spans="1:3" ht="15.75" x14ac:dyDescent="0.25">
      <c r="A30" s="6"/>
      <c r="B30" s="4" t="s">
        <v>76</v>
      </c>
      <c r="C30" s="12"/>
    </row>
    <row r="31" spans="1:3" ht="15.75" x14ac:dyDescent="0.25">
      <c r="A31" s="6"/>
      <c r="B31" s="4" t="s">
        <v>75</v>
      </c>
      <c r="C31" s="12"/>
    </row>
    <row r="32" spans="1:3" ht="15.75" x14ac:dyDescent="0.25">
      <c r="A32" s="6"/>
      <c r="B32" s="27" t="s">
        <v>119</v>
      </c>
      <c r="C32" s="12">
        <v>5.12</v>
      </c>
    </row>
    <row r="33" spans="1:3" ht="15.75" x14ac:dyDescent="0.25">
      <c r="A33" s="6"/>
      <c r="B33" s="4" t="s">
        <v>50</v>
      </c>
      <c r="C33" s="12"/>
    </row>
    <row r="34" spans="1:3" ht="15.75" x14ac:dyDescent="0.25">
      <c r="A34" s="6"/>
      <c r="B34" s="26" t="s">
        <v>255</v>
      </c>
      <c r="C34" s="12">
        <v>0.26</v>
      </c>
    </row>
    <row r="35" spans="1:3" ht="15.75" x14ac:dyDescent="0.25">
      <c r="A35" s="14" t="s">
        <v>25</v>
      </c>
      <c r="B35" s="5" t="s">
        <v>256</v>
      </c>
      <c r="C35" s="16">
        <f>SUM(C25*0.3)</f>
        <v>17.681999999999999</v>
      </c>
    </row>
    <row r="36" spans="1:3" ht="15.75" x14ac:dyDescent="0.25">
      <c r="A36" s="14" t="s">
        <v>26</v>
      </c>
      <c r="B36" s="5" t="s">
        <v>408</v>
      </c>
      <c r="C36" s="16">
        <f>SUM(C14*1.2)</f>
        <v>378.39565485714286</v>
      </c>
    </row>
    <row r="37" spans="1:3" ht="15.75" x14ac:dyDescent="0.25">
      <c r="A37" s="14" t="s">
        <v>27</v>
      </c>
      <c r="B37" s="5" t="s">
        <v>201</v>
      </c>
      <c r="C37" s="16">
        <f>C14+C25+C35+C36</f>
        <v>770.34736723809533</v>
      </c>
    </row>
    <row r="38" spans="1:3" ht="15.75" x14ac:dyDescent="0.25">
      <c r="A38" s="14" t="s">
        <v>28</v>
      </c>
      <c r="B38" s="5" t="s">
        <v>257</v>
      </c>
      <c r="C38" s="16">
        <f>SUM(C37/8)</f>
        <v>96.293420904761916</v>
      </c>
    </row>
    <row r="39" spans="1:3" ht="15.75" x14ac:dyDescent="0.25">
      <c r="A39" s="14" t="s">
        <v>29</v>
      </c>
      <c r="B39" s="5" t="s">
        <v>426</v>
      </c>
      <c r="C39" s="16">
        <f>SUM(C37*126)</f>
        <v>97063.768272000016</v>
      </c>
    </row>
    <row r="40" spans="1:3" ht="15.75" x14ac:dyDescent="0.25">
      <c r="A40" s="14"/>
      <c r="B40" s="4"/>
      <c r="C40" s="12"/>
    </row>
    <row r="41" spans="1:3" ht="15.75" x14ac:dyDescent="0.25">
      <c r="A41" s="8"/>
      <c r="C41" s="15"/>
    </row>
    <row r="42" spans="1:3" ht="15.75" x14ac:dyDescent="0.25">
      <c r="A42" s="8"/>
      <c r="B42" s="22" t="s">
        <v>258</v>
      </c>
      <c r="C42" s="15"/>
    </row>
    <row r="43" spans="1:3" ht="15.75" x14ac:dyDescent="0.25">
      <c r="A43" s="8"/>
    </row>
    <row r="44" spans="1:3" ht="15.75" x14ac:dyDescent="0.25">
      <c r="A44" s="8"/>
    </row>
    <row r="45" spans="1:3" ht="15.75" x14ac:dyDescent="0.25">
      <c r="A45" s="8"/>
    </row>
    <row r="46" spans="1:3" ht="15.75" x14ac:dyDescent="0.25">
      <c r="A46" s="8"/>
      <c r="B46" s="125" t="s">
        <v>74</v>
      </c>
      <c r="C46" s="125"/>
    </row>
    <row r="47" spans="1:3" ht="15.75" x14ac:dyDescent="0.25">
      <c r="A47" s="8"/>
    </row>
  </sheetData>
  <mergeCells count="2">
    <mergeCell ref="A6:C6"/>
    <mergeCell ref="B46:C46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9"/>
  <sheetViews>
    <sheetView topLeftCell="A25" zoomScale="110" zoomScaleNormal="110" workbookViewId="0">
      <selection activeCell="B41" sqref="B41"/>
    </sheetView>
  </sheetViews>
  <sheetFormatPr defaultRowHeight="15" x14ac:dyDescent="0.25"/>
  <cols>
    <col min="2" max="2" width="76.28515625" customWidth="1"/>
    <col min="3" max="3" width="13.7109375" customWidth="1"/>
  </cols>
  <sheetData>
    <row r="2" spans="1:3" ht="15.75" x14ac:dyDescent="0.25">
      <c r="A2" s="8"/>
      <c r="C2" s="15"/>
    </row>
    <row r="3" spans="1:3" ht="15.75" x14ac:dyDescent="0.25">
      <c r="A3" s="8"/>
      <c r="B3" s="38" t="s">
        <v>31</v>
      </c>
    </row>
    <row r="4" spans="1:3" ht="15.75" x14ac:dyDescent="0.25">
      <c r="A4" s="8"/>
      <c r="B4" s="7"/>
    </row>
    <row r="5" spans="1:3" ht="18.75" x14ac:dyDescent="0.3">
      <c r="A5" s="8"/>
      <c r="B5" s="18" t="s">
        <v>32</v>
      </c>
    </row>
    <row r="6" spans="1:3" ht="18.75" x14ac:dyDescent="0.3">
      <c r="A6" s="8"/>
      <c r="B6" s="18"/>
    </row>
    <row r="7" spans="1:3" ht="15.75" x14ac:dyDescent="0.25">
      <c r="A7" s="8"/>
      <c r="B7" s="126" t="s">
        <v>120</v>
      </c>
      <c r="C7" s="126"/>
    </row>
    <row r="8" spans="1:3" ht="16.5" thickBot="1" x14ac:dyDescent="0.3">
      <c r="A8" s="8"/>
      <c r="B8" s="38" t="s">
        <v>198</v>
      </c>
      <c r="C8" s="11"/>
    </row>
    <row r="9" spans="1:3" ht="15.75" x14ac:dyDescent="0.25">
      <c r="A9" s="9" t="s">
        <v>2</v>
      </c>
      <c r="B9" s="13" t="s">
        <v>4</v>
      </c>
      <c r="C9" s="2" t="s">
        <v>5</v>
      </c>
    </row>
    <row r="10" spans="1:3" ht="15.75" x14ac:dyDescent="0.25">
      <c r="A10" s="10" t="s">
        <v>3</v>
      </c>
      <c r="B10" s="3"/>
      <c r="C10" s="3"/>
    </row>
    <row r="11" spans="1:3" ht="15.75" x14ac:dyDescent="0.25">
      <c r="A11" s="14" t="s">
        <v>0</v>
      </c>
      <c r="B11" s="64" t="s">
        <v>6</v>
      </c>
      <c r="C11" s="67"/>
    </row>
    <row r="12" spans="1:3" ht="15.75" x14ac:dyDescent="0.25">
      <c r="A12" s="6"/>
      <c r="B12" s="63" t="s">
        <v>138</v>
      </c>
      <c r="C12" s="67"/>
    </row>
    <row r="13" spans="1:3" ht="15.75" x14ac:dyDescent="0.25">
      <c r="A13" s="6"/>
      <c r="B13" s="63" t="s">
        <v>7</v>
      </c>
      <c r="C13" s="67"/>
    </row>
    <row r="14" spans="1:3" ht="15.75" x14ac:dyDescent="0.25">
      <c r="A14" s="6"/>
      <c r="B14" s="63" t="s">
        <v>8</v>
      </c>
      <c r="C14" s="67"/>
    </row>
    <row r="15" spans="1:3" ht="15.75" x14ac:dyDescent="0.25">
      <c r="A15" s="6"/>
      <c r="B15" s="63" t="s">
        <v>202</v>
      </c>
      <c r="C15" s="67"/>
    </row>
    <row r="16" spans="1:3" ht="15.75" x14ac:dyDescent="0.25">
      <c r="A16" s="14" t="s">
        <v>10</v>
      </c>
      <c r="B16" s="64" t="s">
        <v>11</v>
      </c>
      <c r="C16" s="70">
        <f>SUM(C23+C17)</f>
        <v>157.15789523809525</v>
      </c>
    </row>
    <row r="17" spans="1:3" ht="15.75" x14ac:dyDescent="0.25">
      <c r="A17" s="6"/>
      <c r="B17" s="63" t="s">
        <v>260</v>
      </c>
      <c r="C17" s="70">
        <f>SUM(C18+C22)/21</f>
        <v>131.38095238095238</v>
      </c>
    </row>
    <row r="18" spans="1:3" ht="15.75" x14ac:dyDescent="0.25">
      <c r="A18" s="6"/>
      <c r="B18" s="63" t="s">
        <v>12</v>
      </c>
      <c r="C18" s="70">
        <f>SUM(C19:C20)</f>
        <v>979</v>
      </c>
    </row>
    <row r="19" spans="1:3" ht="15.75" x14ac:dyDescent="0.25">
      <c r="A19" s="6"/>
      <c r="B19" s="63" t="s">
        <v>13</v>
      </c>
      <c r="C19" s="67">
        <v>890</v>
      </c>
    </row>
    <row r="20" spans="1:3" ht="15.75" x14ac:dyDescent="0.25">
      <c r="A20" s="6"/>
      <c r="B20" s="63" t="s">
        <v>14</v>
      </c>
      <c r="C20" s="67">
        <f>SUM(C21)</f>
        <v>89</v>
      </c>
    </row>
    <row r="21" spans="1:3" ht="15.75" x14ac:dyDescent="0.25">
      <c r="A21" s="6"/>
      <c r="B21" s="71" t="s">
        <v>259</v>
      </c>
      <c r="C21" s="67">
        <v>89</v>
      </c>
    </row>
    <row r="22" spans="1:3" s="62" customFormat="1" ht="15.75" x14ac:dyDescent="0.25">
      <c r="A22" s="65"/>
      <c r="B22" s="63" t="s">
        <v>261</v>
      </c>
      <c r="C22" s="70">
        <v>1780</v>
      </c>
    </row>
    <row r="23" spans="1:3" ht="15.75" x14ac:dyDescent="0.25">
      <c r="A23" s="6"/>
      <c r="B23" s="63" t="s">
        <v>17</v>
      </c>
      <c r="C23" s="70">
        <f>SUM(C24:C26)</f>
        <v>25.776942857142856</v>
      </c>
    </row>
    <row r="24" spans="1:3" ht="15.75" x14ac:dyDescent="0.25">
      <c r="A24" s="6"/>
      <c r="B24" s="63" t="s">
        <v>262</v>
      </c>
      <c r="C24" s="67">
        <f>SUM(C17*12.02%)</f>
        <v>15.791990476190476</v>
      </c>
    </row>
    <row r="25" spans="1:3" ht="15.75" x14ac:dyDescent="0.25">
      <c r="A25" s="6"/>
      <c r="B25" s="63" t="s">
        <v>263</v>
      </c>
      <c r="C25" s="67">
        <f>SUM(C17*4.8%)</f>
        <v>6.3062857142857141</v>
      </c>
    </row>
    <row r="26" spans="1:3" ht="15.75" x14ac:dyDescent="0.25">
      <c r="A26" s="6"/>
      <c r="B26" s="63" t="s">
        <v>264</v>
      </c>
      <c r="C26" s="67">
        <f>SUM(C17*2.8%)</f>
        <v>3.6786666666666661</v>
      </c>
    </row>
    <row r="27" spans="1:3" ht="15.75" x14ac:dyDescent="0.25">
      <c r="A27" s="14" t="s">
        <v>1</v>
      </c>
      <c r="B27" s="64" t="s">
        <v>18</v>
      </c>
      <c r="C27" s="70">
        <f>C28+C29</f>
        <v>58.94</v>
      </c>
    </row>
    <row r="28" spans="1:3" ht="15.75" x14ac:dyDescent="0.25">
      <c r="A28" s="6"/>
      <c r="B28" s="63" t="s">
        <v>254</v>
      </c>
      <c r="C28" s="70">
        <v>52.8</v>
      </c>
    </row>
    <row r="29" spans="1:3" ht="15.75" x14ac:dyDescent="0.25">
      <c r="A29" s="6"/>
      <c r="B29" s="63" t="s">
        <v>19</v>
      </c>
      <c r="C29" s="70">
        <f>C31+C34+C36</f>
        <v>6.14</v>
      </c>
    </row>
    <row r="30" spans="1:3" ht="15.75" x14ac:dyDescent="0.25">
      <c r="A30" s="6"/>
      <c r="B30" s="63" t="s">
        <v>48</v>
      </c>
      <c r="C30" s="70"/>
    </row>
    <row r="31" spans="1:3" ht="15.75" x14ac:dyDescent="0.25">
      <c r="A31" s="6"/>
      <c r="B31" s="27" t="s">
        <v>118</v>
      </c>
      <c r="C31" s="25">
        <v>0.76</v>
      </c>
    </row>
    <row r="32" spans="1:3" ht="15.75" x14ac:dyDescent="0.25">
      <c r="A32" s="6"/>
      <c r="B32" s="63" t="s">
        <v>76</v>
      </c>
      <c r="C32" s="67"/>
    </row>
    <row r="33" spans="1:3" ht="15.75" x14ac:dyDescent="0.25">
      <c r="A33" s="6"/>
      <c r="B33" s="63" t="s">
        <v>75</v>
      </c>
      <c r="C33" s="67"/>
    </row>
    <row r="34" spans="1:3" ht="15.75" x14ac:dyDescent="0.25">
      <c r="A34" s="6"/>
      <c r="B34" s="27" t="s">
        <v>119</v>
      </c>
      <c r="C34" s="67">
        <v>5.12</v>
      </c>
    </row>
    <row r="35" spans="1:3" ht="15.75" x14ac:dyDescent="0.25">
      <c r="A35" s="6"/>
      <c r="B35" s="63" t="s">
        <v>50</v>
      </c>
      <c r="C35" s="67"/>
    </row>
    <row r="36" spans="1:3" ht="15.75" x14ac:dyDescent="0.25">
      <c r="A36" s="6"/>
      <c r="B36" s="26" t="s">
        <v>255</v>
      </c>
      <c r="C36" s="67">
        <v>0.26</v>
      </c>
    </row>
    <row r="37" spans="1:3" ht="15.75" x14ac:dyDescent="0.25">
      <c r="A37" s="14" t="s">
        <v>25</v>
      </c>
      <c r="B37" s="64" t="s">
        <v>256</v>
      </c>
      <c r="C37" s="70">
        <f>SUM(C27*0.3)</f>
        <v>17.681999999999999</v>
      </c>
    </row>
    <row r="38" spans="1:3" ht="15.75" x14ac:dyDescent="0.25">
      <c r="A38" s="14" t="s">
        <v>26</v>
      </c>
      <c r="B38" s="64" t="s">
        <v>265</v>
      </c>
      <c r="C38" s="70">
        <f>SUM(C16*1.2)</f>
        <v>188.58947428571429</v>
      </c>
    </row>
    <row r="39" spans="1:3" ht="15.75" x14ac:dyDescent="0.25">
      <c r="A39" s="14" t="s">
        <v>27</v>
      </c>
      <c r="B39" s="64" t="s">
        <v>30</v>
      </c>
      <c r="C39" s="70">
        <f>SUM(C16+C27+C37+C38)</f>
        <v>422.3693695238095</v>
      </c>
    </row>
    <row r="40" spans="1:3" ht="15.75" x14ac:dyDescent="0.25">
      <c r="A40" s="14" t="s">
        <v>28</v>
      </c>
      <c r="B40" s="64" t="s">
        <v>266</v>
      </c>
      <c r="C40" s="70">
        <f>SUM(C39/8)</f>
        <v>52.796171190476187</v>
      </c>
    </row>
    <row r="41" spans="1:3" ht="15.75" x14ac:dyDescent="0.25">
      <c r="A41" s="14" t="s">
        <v>29</v>
      </c>
      <c r="B41" s="64" t="s">
        <v>267</v>
      </c>
      <c r="C41" s="70">
        <f>SUM(C39*105)</f>
        <v>44348.783799999997</v>
      </c>
    </row>
    <row r="42" spans="1:3" ht="15.75" x14ac:dyDescent="0.25">
      <c r="A42" s="14"/>
      <c r="B42" s="63"/>
      <c r="C42" s="67"/>
    </row>
    <row r="43" spans="1:3" ht="15.75" x14ac:dyDescent="0.25">
      <c r="A43" s="8"/>
      <c r="B43" s="62"/>
      <c r="C43" s="69"/>
    </row>
    <row r="44" spans="1:3" ht="15.75" x14ac:dyDescent="0.25">
      <c r="A44" s="8"/>
      <c r="B44" s="72" t="s">
        <v>258</v>
      </c>
      <c r="C44" s="69"/>
    </row>
    <row r="45" spans="1:3" ht="15.75" x14ac:dyDescent="0.25">
      <c r="A45" s="8"/>
      <c r="B45" s="62"/>
      <c r="C45" s="62"/>
    </row>
    <row r="46" spans="1:3" ht="15.75" x14ac:dyDescent="0.25">
      <c r="A46" s="8"/>
      <c r="B46" s="62"/>
      <c r="C46" s="62"/>
    </row>
    <row r="47" spans="1:3" ht="15.75" x14ac:dyDescent="0.25">
      <c r="A47" s="8"/>
      <c r="B47" s="62"/>
      <c r="C47" s="62"/>
    </row>
    <row r="48" spans="1:3" x14ac:dyDescent="0.25">
      <c r="B48" s="125" t="s">
        <v>74</v>
      </c>
      <c r="C48" s="125"/>
    </row>
    <row r="49" spans="1:3" ht="15.75" x14ac:dyDescent="0.25">
      <c r="A49" s="8"/>
      <c r="C49" s="15"/>
    </row>
  </sheetData>
  <mergeCells count="2">
    <mergeCell ref="B7:C7"/>
    <mergeCell ref="B48:C48"/>
  </mergeCell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opLeftCell="A49" zoomScale="110" zoomScaleNormal="110" workbookViewId="0">
      <selection activeCell="B59" sqref="B59"/>
    </sheetView>
  </sheetViews>
  <sheetFormatPr defaultRowHeight="15" x14ac:dyDescent="0.25"/>
  <cols>
    <col min="2" max="2" width="76.140625" customWidth="1"/>
    <col min="3" max="3" width="12.85546875" bestFit="1" customWidth="1"/>
    <col min="4" max="4" width="12.28515625" customWidth="1"/>
    <col min="5" max="5" width="12.42578125" customWidth="1"/>
  </cols>
  <sheetData>
    <row r="1" spans="1:3" ht="15.75" x14ac:dyDescent="0.25">
      <c r="A1" s="8"/>
    </row>
    <row r="2" spans="1:3" ht="15.75" x14ac:dyDescent="0.25">
      <c r="A2" s="8"/>
      <c r="B2" s="34" t="s">
        <v>31</v>
      </c>
    </row>
    <row r="3" spans="1:3" ht="15.75" x14ac:dyDescent="0.25">
      <c r="A3" s="8"/>
      <c r="B3" s="7"/>
      <c r="C3" s="55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x14ac:dyDescent="0.25">
      <c r="A6" s="126" t="s">
        <v>35</v>
      </c>
      <c r="B6" s="126"/>
      <c r="C6" s="126"/>
    </row>
    <row r="7" spans="1:3" ht="16.5" thickBot="1" x14ac:dyDescent="0.3">
      <c r="A7" s="127" t="s">
        <v>268</v>
      </c>
      <c r="B7" s="127"/>
      <c r="C7" s="127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64" t="s">
        <v>6</v>
      </c>
      <c r="C10" s="67"/>
    </row>
    <row r="11" spans="1:3" ht="15.75" x14ac:dyDescent="0.25">
      <c r="A11" s="6"/>
      <c r="B11" s="63" t="s">
        <v>96</v>
      </c>
      <c r="C11" s="67"/>
    </row>
    <row r="12" spans="1:3" ht="15.75" x14ac:dyDescent="0.25">
      <c r="A12" s="6"/>
      <c r="B12" s="63" t="s">
        <v>7</v>
      </c>
      <c r="C12" s="67"/>
    </row>
    <row r="13" spans="1:3" ht="15.75" x14ac:dyDescent="0.25">
      <c r="A13" s="6"/>
      <c r="B13" s="63" t="s">
        <v>8</v>
      </c>
      <c r="C13" s="67"/>
    </row>
    <row r="14" spans="1:3" ht="15.75" x14ac:dyDescent="0.25">
      <c r="A14" s="6"/>
      <c r="B14" s="63" t="s">
        <v>56</v>
      </c>
      <c r="C14" s="67"/>
    </row>
    <row r="15" spans="1:3" ht="15.75" x14ac:dyDescent="0.25">
      <c r="A15" s="14" t="s">
        <v>10</v>
      </c>
      <c r="B15" s="64" t="s">
        <v>11</v>
      </c>
      <c r="C15" s="70">
        <f>SUM(C16+C25)</f>
        <v>240.60708571428572</v>
      </c>
    </row>
    <row r="16" spans="1:3" ht="15.75" x14ac:dyDescent="0.25">
      <c r="A16" s="6"/>
      <c r="B16" s="63" t="s">
        <v>269</v>
      </c>
      <c r="C16" s="70">
        <f>SUM(C17+C21)/21</f>
        <v>201.14285714285714</v>
      </c>
    </row>
    <row r="17" spans="1:3" ht="15.75" x14ac:dyDescent="0.25">
      <c r="A17" s="6"/>
      <c r="B17" s="63" t="s">
        <v>58</v>
      </c>
      <c r="C17" s="70">
        <f>SUM(C18:C19)</f>
        <v>1200</v>
      </c>
    </row>
    <row r="18" spans="1:3" ht="15.75" x14ac:dyDescent="0.25">
      <c r="A18" s="6"/>
      <c r="B18" s="63" t="s">
        <v>13</v>
      </c>
      <c r="C18" s="67">
        <v>1000</v>
      </c>
    </row>
    <row r="19" spans="1:3" ht="15.75" x14ac:dyDescent="0.25">
      <c r="A19" s="6"/>
      <c r="B19" s="63" t="s">
        <v>14</v>
      </c>
      <c r="C19" s="67">
        <v>200</v>
      </c>
    </row>
    <row r="20" spans="1:3" ht="15.75" x14ac:dyDescent="0.25">
      <c r="A20" s="6"/>
      <c r="B20" s="71" t="s">
        <v>185</v>
      </c>
      <c r="C20" s="67">
        <v>200</v>
      </c>
    </row>
    <row r="21" spans="1:3" ht="15.75" x14ac:dyDescent="0.25">
      <c r="A21" s="6"/>
      <c r="B21" s="63" t="s">
        <v>38</v>
      </c>
      <c r="C21" s="70">
        <f>SUM(C22:C23)</f>
        <v>3024</v>
      </c>
    </row>
    <row r="22" spans="1:3" ht="15.75" x14ac:dyDescent="0.25">
      <c r="A22" s="6"/>
      <c r="B22" s="63" t="s">
        <v>15</v>
      </c>
      <c r="C22" s="67">
        <v>2520</v>
      </c>
    </row>
    <row r="23" spans="1:3" ht="15.75" x14ac:dyDescent="0.25">
      <c r="A23" s="6"/>
      <c r="B23" s="63" t="s">
        <v>16</v>
      </c>
      <c r="C23" s="67">
        <f>SUM(C24)</f>
        <v>504</v>
      </c>
    </row>
    <row r="24" spans="1:3" ht="15.75" x14ac:dyDescent="0.25">
      <c r="A24" s="6"/>
      <c r="B24" s="71" t="s">
        <v>185</v>
      </c>
      <c r="C24" s="67">
        <v>504</v>
      </c>
    </row>
    <row r="25" spans="1:3" ht="15.75" x14ac:dyDescent="0.25">
      <c r="A25" s="6"/>
      <c r="B25" s="63" t="s">
        <v>17</v>
      </c>
      <c r="C25" s="70">
        <f>SUM(C26:C28)</f>
        <v>39.464228571428571</v>
      </c>
    </row>
    <row r="26" spans="1:3" ht="15.75" x14ac:dyDescent="0.25">
      <c r="A26" s="6"/>
      <c r="B26" s="63" t="s">
        <v>270</v>
      </c>
      <c r="C26" s="67">
        <f>SUM(C16*12.02%)</f>
        <v>24.17737142857143</v>
      </c>
    </row>
    <row r="27" spans="1:3" ht="15.75" x14ac:dyDescent="0.25">
      <c r="A27" s="6"/>
      <c r="B27" s="63" t="s">
        <v>271</v>
      </c>
      <c r="C27" s="67">
        <f>SUM(C16*4.8%)</f>
        <v>9.6548571428571428</v>
      </c>
    </row>
    <row r="28" spans="1:3" ht="15.75" x14ac:dyDescent="0.25">
      <c r="A28" s="6"/>
      <c r="B28" s="63" t="s">
        <v>272</v>
      </c>
      <c r="C28" s="67">
        <f>SUM(C16*2.8%)</f>
        <v>5.6319999999999997</v>
      </c>
    </row>
    <row r="29" spans="1:3" ht="15.75" hidden="1" x14ac:dyDescent="0.25">
      <c r="A29" s="6"/>
      <c r="B29" s="4"/>
      <c r="C29" s="12"/>
    </row>
    <row r="30" spans="1:3" ht="15.75" x14ac:dyDescent="0.25">
      <c r="A30" s="14" t="s">
        <v>1</v>
      </c>
      <c r="B30" s="5" t="s">
        <v>18</v>
      </c>
      <c r="C30" s="16">
        <f>C41+C42</f>
        <v>145.88999999999999</v>
      </c>
    </row>
    <row r="31" spans="1:3" ht="15.75" x14ac:dyDescent="0.25">
      <c r="A31" s="14"/>
      <c r="B31" s="24" t="s">
        <v>44</v>
      </c>
      <c r="C31" s="16"/>
    </row>
    <row r="32" spans="1:3" ht="15.75" x14ac:dyDescent="0.25">
      <c r="A32" s="6"/>
      <c r="B32" s="4" t="s">
        <v>39</v>
      </c>
      <c r="C32" s="12"/>
    </row>
    <row r="33" spans="1:3" ht="15.75" x14ac:dyDescent="0.25">
      <c r="A33" s="6"/>
      <c r="B33" s="4" t="s">
        <v>203</v>
      </c>
      <c r="C33" s="12"/>
    </row>
    <row r="34" spans="1:3" ht="15.75" x14ac:dyDescent="0.25">
      <c r="A34" s="6"/>
      <c r="B34" s="4" t="s">
        <v>40</v>
      </c>
      <c r="C34" s="12"/>
    </row>
    <row r="35" spans="1:3" ht="15.75" x14ac:dyDescent="0.25">
      <c r="A35" s="6"/>
      <c r="B35" s="4" t="s">
        <v>204</v>
      </c>
      <c r="C35" s="12"/>
    </row>
    <row r="36" spans="1:3" ht="15.75" x14ac:dyDescent="0.25">
      <c r="A36" s="6"/>
      <c r="B36" s="4" t="s">
        <v>205</v>
      </c>
      <c r="C36" s="12"/>
    </row>
    <row r="37" spans="1:3" ht="15.75" x14ac:dyDescent="0.25">
      <c r="A37" s="6"/>
      <c r="B37" s="4" t="s">
        <v>206</v>
      </c>
      <c r="C37" s="12"/>
    </row>
    <row r="38" spans="1:3" ht="15.75" x14ac:dyDescent="0.25">
      <c r="A38" s="6"/>
      <c r="B38" s="63" t="s">
        <v>207</v>
      </c>
      <c r="C38" s="67"/>
    </row>
    <row r="39" spans="1:3" ht="15.75" x14ac:dyDescent="0.25">
      <c r="A39" s="6"/>
      <c r="B39" s="4" t="s">
        <v>106</v>
      </c>
      <c r="C39" s="12"/>
    </row>
    <row r="40" spans="1:3" ht="15.75" x14ac:dyDescent="0.25">
      <c r="A40" s="6"/>
      <c r="B40" s="4" t="s">
        <v>41</v>
      </c>
      <c r="C40" s="12"/>
    </row>
    <row r="41" spans="1:3" ht="15.75" x14ac:dyDescent="0.25">
      <c r="A41" s="6"/>
      <c r="B41" s="4" t="s">
        <v>273</v>
      </c>
      <c r="C41" s="16">
        <v>139.91999999999999</v>
      </c>
    </row>
    <row r="42" spans="1:3" ht="15.75" x14ac:dyDescent="0.25">
      <c r="A42" s="6"/>
      <c r="B42" s="4" t="s">
        <v>19</v>
      </c>
      <c r="C42" s="16">
        <f>C45+C48+C51</f>
        <v>5.9700000000000006</v>
      </c>
    </row>
    <row r="43" spans="1:3" ht="15.75" x14ac:dyDescent="0.25">
      <c r="A43" s="6"/>
      <c r="B43" s="4" t="s">
        <v>303</v>
      </c>
      <c r="C43" s="12"/>
    </row>
    <row r="44" spans="1:3" ht="15.75" x14ac:dyDescent="0.25">
      <c r="A44" s="6"/>
      <c r="B44" s="4" t="s">
        <v>20</v>
      </c>
      <c r="C44" s="12"/>
    </row>
    <row r="45" spans="1:3" ht="15.75" x14ac:dyDescent="0.25">
      <c r="A45" s="6"/>
      <c r="B45" s="4" t="s">
        <v>107</v>
      </c>
      <c r="C45" s="12">
        <v>3.39</v>
      </c>
    </row>
    <row r="46" spans="1:3" ht="15.75" x14ac:dyDescent="0.25">
      <c r="A46" s="6"/>
      <c r="B46" s="4" t="s">
        <v>21</v>
      </c>
      <c r="C46" s="12"/>
    </row>
    <row r="47" spans="1:3" ht="15.75" x14ac:dyDescent="0.25">
      <c r="A47" s="6"/>
      <c r="B47" s="4" t="s">
        <v>22</v>
      </c>
      <c r="C47" s="12"/>
    </row>
    <row r="48" spans="1:3" ht="15.75" x14ac:dyDescent="0.25">
      <c r="A48" s="6"/>
      <c r="B48" s="4" t="s">
        <v>103</v>
      </c>
      <c r="C48" s="12">
        <v>1.27</v>
      </c>
    </row>
    <row r="49" spans="1:5" ht="15.75" x14ac:dyDescent="0.25">
      <c r="A49" s="6"/>
      <c r="B49" s="4" t="s">
        <v>23</v>
      </c>
      <c r="C49" s="12"/>
    </row>
    <row r="50" spans="1:5" ht="15.75" x14ac:dyDescent="0.25">
      <c r="A50" s="6"/>
      <c r="B50" s="4" t="s">
        <v>24</v>
      </c>
      <c r="C50" s="12"/>
    </row>
    <row r="51" spans="1:5" ht="15.75" x14ac:dyDescent="0.25">
      <c r="A51" s="6"/>
      <c r="B51" s="4" t="s">
        <v>274</v>
      </c>
      <c r="C51" s="12">
        <v>1.31</v>
      </c>
    </row>
    <row r="52" spans="1:5" ht="15.75" x14ac:dyDescent="0.25">
      <c r="A52" s="14" t="s">
        <v>25</v>
      </c>
      <c r="B52" s="5" t="s">
        <v>275</v>
      </c>
      <c r="C52" s="16">
        <f>SUM(C30*0.3)</f>
        <v>43.766999999999996</v>
      </c>
    </row>
    <row r="53" spans="1:5" ht="15.75" x14ac:dyDescent="0.25">
      <c r="A53" s="14" t="s">
        <v>26</v>
      </c>
      <c r="B53" s="5" t="s">
        <v>276</v>
      </c>
      <c r="C53" s="16">
        <f>SUM(C15*1.2)</f>
        <v>288.72850285714287</v>
      </c>
    </row>
    <row r="54" spans="1:5" ht="15.75" x14ac:dyDescent="0.25">
      <c r="A54" s="14" t="s">
        <v>27</v>
      </c>
      <c r="B54" s="5" t="s">
        <v>42</v>
      </c>
      <c r="C54" s="16">
        <f>SUM(C15+C30+C52+C53)</f>
        <v>718.99258857142854</v>
      </c>
    </row>
    <row r="55" spans="1:5" s="62" customFormat="1" ht="15.75" x14ac:dyDescent="0.25">
      <c r="A55" s="68" t="s">
        <v>28</v>
      </c>
      <c r="B55" s="47" t="s">
        <v>306</v>
      </c>
      <c r="C55" s="70">
        <v>766.42</v>
      </c>
    </row>
    <row r="56" spans="1:5" ht="15.75" x14ac:dyDescent="0.25">
      <c r="A56" s="68" t="s">
        <v>29</v>
      </c>
      <c r="B56" s="5" t="s">
        <v>191</v>
      </c>
      <c r="C56" s="16">
        <v>195</v>
      </c>
    </row>
    <row r="57" spans="1:5" ht="15.75" x14ac:dyDescent="0.25">
      <c r="A57" s="68" t="s">
        <v>33</v>
      </c>
      <c r="B57" s="5" t="s">
        <v>43</v>
      </c>
      <c r="C57" s="16">
        <f>SUM(C54:C56)</f>
        <v>1680.4125885714284</v>
      </c>
    </row>
    <row r="58" spans="1:5" ht="18.75" x14ac:dyDescent="0.3">
      <c r="A58" s="54" t="s">
        <v>34</v>
      </c>
      <c r="B58" s="58" t="s">
        <v>427</v>
      </c>
      <c r="C58" s="16">
        <f>SUM(C57*52)</f>
        <v>87381.454605714272</v>
      </c>
    </row>
    <row r="59" spans="1:5" ht="15.75" x14ac:dyDescent="0.25">
      <c r="A59" s="54"/>
      <c r="B59" s="47"/>
      <c r="C59" s="16"/>
    </row>
    <row r="60" spans="1:5" x14ac:dyDescent="0.25">
      <c r="A60" s="4"/>
      <c r="B60" s="5" t="s">
        <v>84</v>
      </c>
      <c r="C60" s="16">
        <f>SUM(C58:C59)</f>
        <v>87381.454605714272</v>
      </c>
    </row>
    <row r="61" spans="1:5" ht="15.75" x14ac:dyDescent="0.25">
      <c r="A61" s="20"/>
      <c r="B61" s="22"/>
      <c r="C61" s="53"/>
    </row>
    <row r="62" spans="1:5" ht="15.75" x14ac:dyDescent="0.25">
      <c r="A62" s="20"/>
      <c r="B62" s="22" t="s">
        <v>277</v>
      </c>
      <c r="C62" s="46"/>
    </row>
    <row r="63" spans="1:5" ht="15.75" x14ac:dyDescent="0.25">
      <c r="A63" s="8"/>
      <c r="B63" s="64" t="s">
        <v>314</v>
      </c>
      <c r="C63" s="16">
        <v>12.18</v>
      </c>
      <c r="D63" s="63" t="s">
        <v>131</v>
      </c>
      <c r="E63" s="63" t="s">
        <v>132</v>
      </c>
    </row>
    <row r="64" spans="1:5" ht="15.75" x14ac:dyDescent="0.25">
      <c r="A64" s="8"/>
      <c r="D64" s="69">
        <f>SUM(C54+C56)*52</f>
        <v>47527.614605714283</v>
      </c>
      <c r="E64" s="88">
        <f>SUM(C55*52)</f>
        <v>39853.839999999997</v>
      </c>
    </row>
    <row r="65" spans="1:3" ht="19.899999999999999" customHeight="1" x14ac:dyDescent="0.25"/>
    <row r="66" spans="1:3" ht="44.25" customHeight="1" x14ac:dyDescent="0.25">
      <c r="A66" s="8"/>
      <c r="B66" s="125" t="s">
        <v>74</v>
      </c>
      <c r="C66" s="125"/>
    </row>
    <row r="67" spans="1:3" ht="15.75" x14ac:dyDescent="0.25">
      <c r="A67" s="8"/>
    </row>
  </sheetData>
  <mergeCells count="3">
    <mergeCell ref="B66:C66"/>
    <mergeCell ref="A6:C6"/>
    <mergeCell ref="A7:C7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47" zoomScale="110" zoomScaleNormal="110" workbookViewId="0">
      <selection activeCell="B57" sqref="B57"/>
    </sheetView>
  </sheetViews>
  <sheetFormatPr defaultRowHeight="15" x14ac:dyDescent="0.25"/>
  <cols>
    <col min="2" max="2" width="75.28515625" customWidth="1"/>
    <col min="3" max="3" width="13.7109375" customWidth="1"/>
    <col min="4" max="4" width="12.7109375" customWidth="1"/>
    <col min="5" max="5" width="12.85546875" customWidth="1"/>
  </cols>
  <sheetData>
    <row r="1" spans="1:3" ht="15.75" x14ac:dyDescent="0.25">
      <c r="A1" s="8"/>
      <c r="B1" s="34" t="s">
        <v>85</v>
      </c>
    </row>
    <row r="2" spans="1:3" ht="15.75" x14ac:dyDescent="0.25">
      <c r="A2" s="8"/>
      <c r="B2" s="7"/>
      <c r="C2" s="55"/>
    </row>
    <row r="3" spans="1:3" ht="18.75" x14ac:dyDescent="0.3">
      <c r="A3" s="8"/>
      <c r="B3" s="18" t="s">
        <v>32</v>
      </c>
    </row>
    <row r="4" spans="1:3" ht="18.75" x14ac:dyDescent="0.3">
      <c r="A4" s="8"/>
      <c r="B4" s="18"/>
    </row>
    <row r="5" spans="1:3" x14ac:dyDescent="0.25">
      <c r="A5" s="126" t="s">
        <v>35</v>
      </c>
      <c r="B5" s="126"/>
      <c r="C5" s="126"/>
    </row>
    <row r="6" spans="1:3" ht="16.5" thickBot="1" x14ac:dyDescent="0.3">
      <c r="A6" s="127" t="s">
        <v>278</v>
      </c>
      <c r="B6" s="127"/>
      <c r="C6" s="127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64" t="s">
        <v>6</v>
      </c>
      <c r="C9" s="67"/>
    </row>
    <row r="10" spans="1:3" ht="15.75" x14ac:dyDescent="0.25">
      <c r="A10" s="6"/>
      <c r="B10" s="63" t="s">
        <v>96</v>
      </c>
      <c r="C10" s="67"/>
    </row>
    <row r="11" spans="1:3" ht="15.75" x14ac:dyDescent="0.25">
      <c r="A11" s="6"/>
      <c r="B11" s="63" t="s">
        <v>7</v>
      </c>
      <c r="C11" s="67"/>
    </row>
    <row r="12" spans="1:3" ht="15.75" x14ac:dyDescent="0.25">
      <c r="A12" s="6"/>
      <c r="B12" s="63" t="s">
        <v>8</v>
      </c>
      <c r="C12" s="67"/>
    </row>
    <row r="13" spans="1:3" ht="15.75" x14ac:dyDescent="0.25">
      <c r="A13" s="6"/>
      <c r="B13" s="63" t="s">
        <v>56</v>
      </c>
      <c r="C13" s="67"/>
    </row>
    <row r="14" spans="1:3" ht="15.75" x14ac:dyDescent="0.25">
      <c r="A14" s="14" t="s">
        <v>10</v>
      </c>
      <c r="B14" s="64" t="s">
        <v>11</v>
      </c>
      <c r="C14" s="70">
        <f>SUM(C15+C24)</f>
        <v>241.51847619047618</v>
      </c>
    </row>
    <row r="15" spans="1:3" ht="15.75" x14ac:dyDescent="0.25">
      <c r="A15" s="6"/>
      <c r="B15" s="63" t="s">
        <v>279</v>
      </c>
      <c r="C15" s="70">
        <f>SUM(C16+C20)/21</f>
        <v>201.9047619047619</v>
      </c>
    </row>
    <row r="16" spans="1:3" ht="15.75" x14ac:dyDescent="0.25">
      <c r="A16" s="6"/>
      <c r="B16" s="63" t="s">
        <v>58</v>
      </c>
      <c r="C16" s="70">
        <f>SUM(C17:C18)</f>
        <v>1200</v>
      </c>
    </row>
    <row r="17" spans="1:3" ht="15.75" x14ac:dyDescent="0.25">
      <c r="A17" s="6"/>
      <c r="B17" s="63" t="s">
        <v>13</v>
      </c>
      <c r="C17" s="67">
        <v>1000</v>
      </c>
    </row>
    <row r="18" spans="1:3" ht="15.75" x14ac:dyDescent="0.25">
      <c r="A18" s="6"/>
      <c r="B18" s="63" t="s">
        <v>14</v>
      </c>
      <c r="C18" s="67">
        <f>SUM(C19)</f>
        <v>200</v>
      </c>
    </row>
    <row r="19" spans="1:3" ht="15.75" x14ac:dyDescent="0.25">
      <c r="A19" s="6"/>
      <c r="B19" s="71" t="s">
        <v>185</v>
      </c>
      <c r="C19" s="67">
        <v>200</v>
      </c>
    </row>
    <row r="20" spans="1:3" ht="15.75" x14ac:dyDescent="0.25">
      <c r="A20" s="6"/>
      <c r="B20" s="63" t="s">
        <v>38</v>
      </c>
      <c r="C20" s="70">
        <f>SUM(C21+C22)</f>
        <v>3040</v>
      </c>
    </row>
    <row r="21" spans="1:3" ht="15.75" x14ac:dyDescent="0.25">
      <c r="A21" s="6"/>
      <c r="B21" s="63" t="s">
        <v>15</v>
      </c>
      <c r="C21" s="67">
        <v>2520</v>
      </c>
    </row>
    <row r="22" spans="1:3" ht="15.75" x14ac:dyDescent="0.25">
      <c r="A22" s="6"/>
      <c r="B22" s="63" t="s">
        <v>16</v>
      </c>
      <c r="C22" s="67">
        <f>SUM(C23)</f>
        <v>520</v>
      </c>
    </row>
    <row r="23" spans="1:3" ht="15.75" x14ac:dyDescent="0.25">
      <c r="A23" s="6"/>
      <c r="B23" s="71" t="s">
        <v>185</v>
      </c>
      <c r="C23" s="67">
        <v>520</v>
      </c>
    </row>
    <row r="24" spans="1:3" ht="15.75" x14ac:dyDescent="0.25">
      <c r="A24" s="6"/>
      <c r="B24" s="63" t="s">
        <v>17</v>
      </c>
      <c r="C24" s="70">
        <f>SUM(C25:C27)</f>
        <v>39.613714285714281</v>
      </c>
    </row>
    <row r="25" spans="1:3" ht="15.75" x14ac:dyDescent="0.25">
      <c r="A25" s="6"/>
      <c r="B25" s="63" t="s">
        <v>280</v>
      </c>
      <c r="C25" s="67">
        <f>SUM(C15*12.02%)</f>
        <v>24.268952380952381</v>
      </c>
    </row>
    <row r="26" spans="1:3" ht="15.75" x14ac:dyDescent="0.25">
      <c r="A26" s="6"/>
      <c r="B26" s="63" t="s">
        <v>281</v>
      </c>
      <c r="C26" s="67">
        <f>SUM(C15*4.8%)</f>
        <v>9.6914285714285722</v>
      </c>
    </row>
    <row r="27" spans="1:3" ht="15.75" x14ac:dyDescent="0.25">
      <c r="A27" s="6"/>
      <c r="B27" s="63" t="s">
        <v>282</v>
      </c>
      <c r="C27" s="67">
        <f>SUM(C15*2.8%)</f>
        <v>5.6533333333333324</v>
      </c>
    </row>
    <row r="28" spans="1:3" ht="15.75" hidden="1" x14ac:dyDescent="0.25">
      <c r="A28" s="6"/>
      <c r="B28" s="4" t="s">
        <v>68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f>SUM(C40:C41)</f>
        <v>157.24</v>
      </c>
    </row>
    <row r="30" spans="1:3" ht="15.75" x14ac:dyDescent="0.25">
      <c r="A30" s="14"/>
      <c r="B30" s="24" t="s">
        <v>45</v>
      </c>
      <c r="C30" s="16"/>
    </row>
    <row r="31" spans="1:3" ht="15.75" x14ac:dyDescent="0.25">
      <c r="A31" s="6"/>
      <c r="B31" s="4" t="s">
        <v>98</v>
      </c>
      <c r="C31" s="12"/>
    </row>
    <row r="32" spans="1:3" ht="15.75" x14ac:dyDescent="0.25">
      <c r="A32" s="6"/>
      <c r="B32" s="4" t="s">
        <v>97</v>
      </c>
      <c r="C32" s="12"/>
    </row>
    <row r="33" spans="1:3" ht="15.75" x14ac:dyDescent="0.25">
      <c r="A33" s="6"/>
      <c r="B33" s="4" t="s">
        <v>40</v>
      </c>
      <c r="C33" s="12"/>
    </row>
    <row r="34" spans="1:3" ht="15.75" x14ac:dyDescent="0.25">
      <c r="A34" s="6"/>
      <c r="B34" s="4" t="s">
        <v>208</v>
      </c>
      <c r="C34" s="12"/>
    </row>
    <row r="35" spans="1:3" ht="15.75" x14ac:dyDescent="0.25">
      <c r="A35" s="6"/>
      <c r="B35" s="4" t="s">
        <v>86</v>
      </c>
      <c r="C35" s="12"/>
    </row>
    <row r="36" spans="1:3" ht="15.75" x14ac:dyDescent="0.25">
      <c r="A36" s="6"/>
      <c r="B36" s="4" t="s">
        <v>46</v>
      </c>
      <c r="C36" s="12"/>
    </row>
    <row r="37" spans="1:3" ht="15.75" x14ac:dyDescent="0.25">
      <c r="A37" s="6"/>
      <c r="B37" s="4" t="s">
        <v>209</v>
      </c>
      <c r="C37" s="12"/>
    </row>
    <row r="38" spans="1:3" ht="15.75" x14ac:dyDescent="0.25">
      <c r="A38" s="6"/>
      <c r="B38" s="4" t="s">
        <v>99</v>
      </c>
      <c r="C38" s="12"/>
    </row>
    <row r="39" spans="1:3" ht="15.75" x14ac:dyDescent="0.25">
      <c r="A39" s="6"/>
      <c r="B39" s="4" t="s">
        <v>100</v>
      </c>
      <c r="C39" s="12"/>
    </row>
    <row r="40" spans="1:3" ht="15.75" x14ac:dyDescent="0.25">
      <c r="A40" s="6"/>
      <c r="B40" s="4" t="s">
        <v>283</v>
      </c>
      <c r="C40" s="16">
        <v>151</v>
      </c>
    </row>
    <row r="41" spans="1:3" ht="15.75" x14ac:dyDescent="0.25">
      <c r="A41" s="6"/>
      <c r="B41" s="4" t="s">
        <v>19</v>
      </c>
      <c r="C41" s="16">
        <f>SUM(C42:C50)</f>
        <v>6.24</v>
      </c>
    </row>
    <row r="42" spans="1:3" ht="15.75" x14ac:dyDescent="0.25">
      <c r="A42" s="6"/>
      <c r="B42" s="4" t="s">
        <v>303</v>
      </c>
      <c r="C42" s="12"/>
    </row>
    <row r="43" spans="1:3" ht="15.75" x14ac:dyDescent="0.25">
      <c r="A43" s="6"/>
      <c r="B43" s="4" t="s">
        <v>20</v>
      </c>
      <c r="C43" s="12"/>
    </row>
    <row r="44" spans="1:3" ht="15.75" x14ac:dyDescent="0.25">
      <c r="A44" s="6"/>
      <c r="B44" s="4" t="s">
        <v>101</v>
      </c>
      <c r="C44" s="12">
        <v>3.66</v>
      </c>
    </row>
    <row r="45" spans="1:3" ht="15.75" x14ac:dyDescent="0.25">
      <c r="A45" s="6"/>
      <c r="B45" s="4" t="s">
        <v>102</v>
      </c>
      <c r="C45" s="12"/>
    </row>
    <row r="46" spans="1:3" ht="15.75" x14ac:dyDescent="0.25">
      <c r="A46" s="6"/>
      <c r="B46" s="4" t="s">
        <v>22</v>
      </c>
      <c r="C46" s="12"/>
    </row>
    <row r="47" spans="1:3" ht="15.75" x14ac:dyDescent="0.25">
      <c r="A47" s="6"/>
      <c r="B47" s="4" t="s">
        <v>103</v>
      </c>
      <c r="C47" s="12">
        <v>1.27</v>
      </c>
    </row>
    <row r="48" spans="1:3" ht="15.75" x14ac:dyDescent="0.25">
      <c r="A48" s="6"/>
      <c r="B48" s="4" t="s">
        <v>23</v>
      </c>
      <c r="C48" s="12"/>
    </row>
    <row r="49" spans="1:5" ht="15.75" x14ac:dyDescent="0.25">
      <c r="A49" s="6"/>
      <c r="B49" s="4" t="s">
        <v>24</v>
      </c>
      <c r="C49" s="12"/>
    </row>
    <row r="50" spans="1:5" ht="15.75" x14ac:dyDescent="0.25">
      <c r="A50" s="6"/>
      <c r="B50" s="4" t="s">
        <v>274</v>
      </c>
      <c r="C50" s="12">
        <v>1.31</v>
      </c>
    </row>
    <row r="51" spans="1:5" ht="15.75" x14ac:dyDescent="0.25">
      <c r="A51" s="14" t="s">
        <v>25</v>
      </c>
      <c r="B51" s="5" t="s">
        <v>284</v>
      </c>
      <c r="C51" s="16">
        <f>SUM(C29*30/100)</f>
        <v>47.172000000000004</v>
      </c>
    </row>
    <row r="52" spans="1:5" ht="15.75" x14ac:dyDescent="0.25">
      <c r="A52" s="14" t="s">
        <v>26</v>
      </c>
      <c r="B52" s="5" t="s">
        <v>285</v>
      </c>
      <c r="C52" s="16">
        <f>SUM(C14*1.2)</f>
        <v>289.82217142857138</v>
      </c>
    </row>
    <row r="53" spans="1:5" ht="15.75" x14ac:dyDescent="0.25">
      <c r="A53" s="14" t="s">
        <v>27</v>
      </c>
      <c r="B53" s="5" t="s">
        <v>42</v>
      </c>
      <c r="C53" s="16">
        <f>SUM(C14+C29+C51+C52)</f>
        <v>735.75264761904759</v>
      </c>
    </row>
    <row r="54" spans="1:5" s="62" customFormat="1" ht="15.75" x14ac:dyDescent="0.25">
      <c r="A54" s="68" t="s">
        <v>28</v>
      </c>
      <c r="B54" s="64" t="s">
        <v>305</v>
      </c>
      <c r="C54" s="94">
        <v>766.42</v>
      </c>
    </row>
    <row r="55" spans="1:5" ht="15.75" x14ac:dyDescent="0.25">
      <c r="A55" s="68" t="s">
        <v>29</v>
      </c>
      <c r="B55" s="64" t="s">
        <v>191</v>
      </c>
      <c r="C55" s="70">
        <v>195</v>
      </c>
    </row>
    <row r="56" spans="1:5" ht="15.75" x14ac:dyDescent="0.25">
      <c r="A56" s="68" t="s">
        <v>33</v>
      </c>
      <c r="B56" s="5" t="s">
        <v>43</v>
      </c>
      <c r="C56" s="16">
        <f>SUM(C53:C55)</f>
        <v>1697.1726476190474</v>
      </c>
    </row>
    <row r="57" spans="1:5" ht="18.75" x14ac:dyDescent="0.3">
      <c r="A57" s="68" t="s">
        <v>34</v>
      </c>
      <c r="B57" s="58" t="s">
        <v>428</v>
      </c>
      <c r="C57" s="16">
        <f>SUM(C56*52)</f>
        <v>88252.977676190465</v>
      </c>
    </row>
    <row r="58" spans="1:5" ht="15.75" x14ac:dyDescent="0.25">
      <c r="A58" s="14"/>
      <c r="B58" s="5"/>
      <c r="C58" s="16"/>
    </row>
    <row r="59" spans="1:5" ht="15.75" x14ac:dyDescent="0.25">
      <c r="A59" s="48"/>
      <c r="B59" s="22" t="s">
        <v>199</v>
      </c>
      <c r="C59" s="16">
        <f>SUM(C57:C58)</f>
        <v>88252.977676190465</v>
      </c>
    </row>
    <row r="60" spans="1:5" ht="15.75" x14ac:dyDescent="0.25">
      <c r="A60" s="8"/>
      <c r="B60" s="36" t="s">
        <v>312</v>
      </c>
      <c r="C60" s="15"/>
    </row>
    <row r="61" spans="1:5" ht="15.75" x14ac:dyDescent="0.25">
      <c r="A61" s="8"/>
    </row>
    <row r="62" spans="1:5" ht="15.75" x14ac:dyDescent="0.25">
      <c r="A62" s="8"/>
      <c r="B62" s="5" t="s">
        <v>313</v>
      </c>
      <c r="C62" s="16">
        <v>15.57</v>
      </c>
      <c r="D62" s="63" t="s">
        <v>131</v>
      </c>
      <c r="E62" s="63" t="s">
        <v>132</v>
      </c>
    </row>
    <row r="63" spans="1:5" ht="15.75" x14ac:dyDescent="0.25">
      <c r="A63" s="8"/>
      <c r="D63" s="67">
        <f>SUM(C53+C55)*52</f>
        <v>48399.137676190476</v>
      </c>
      <c r="E63" s="115">
        <f>SUM(C54*52)</f>
        <v>39853.839999999997</v>
      </c>
    </row>
    <row r="64" spans="1:5" ht="48" customHeight="1" x14ac:dyDescent="0.25">
      <c r="A64" s="8"/>
      <c r="B64" s="125" t="s">
        <v>74</v>
      </c>
      <c r="C64" s="125"/>
    </row>
    <row r="66" spans="1:1" ht="15.75" x14ac:dyDescent="0.25">
      <c r="A66" s="20"/>
    </row>
  </sheetData>
  <mergeCells count="3">
    <mergeCell ref="B64:C64"/>
    <mergeCell ref="A5:C5"/>
    <mergeCell ref="A6:C6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57" zoomScale="110" zoomScaleNormal="110" workbookViewId="0">
      <selection activeCell="B64" sqref="B64"/>
    </sheetView>
  </sheetViews>
  <sheetFormatPr defaultRowHeight="15" x14ac:dyDescent="0.25"/>
  <cols>
    <col min="2" max="2" width="78.28515625" customWidth="1"/>
    <col min="3" max="4" width="13.42578125" customWidth="1"/>
    <col min="5" max="5" width="11.85546875" bestFit="1" customWidth="1"/>
  </cols>
  <sheetData>
    <row r="1" spans="1:3" ht="15.75" x14ac:dyDescent="0.25">
      <c r="A1" s="8"/>
      <c r="B1" s="19"/>
    </row>
    <row r="2" spans="1:3" ht="15.75" x14ac:dyDescent="0.25">
      <c r="A2" s="8"/>
      <c r="B2" s="34" t="s">
        <v>31</v>
      </c>
    </row>
    <row r="3" spans="1:3" ht="15.75" x14ac:dyDescent="0.25">
      <c r="A3" s="8"/>
      <c r="B3" s="7"/>
      <c r="C3" s="55"/>
    </row>
    <row r="4" spans="1:3" ht="18.75" x14ac:dyDescent="0.3">
      <c r="A4" s="8"/>
      <c r="B4" s="18" t="s">
        <v>32</v>
      </c>
    </row>
    <row r="5" spans="1:3" ht="18.75" x14ac:dyDescent="0.3">
      <c r="A5" s="8"/>
      <c r="B5" s="18"/>
    </row>
    <row r="6" spans="1:3" x14ac:dyDescent="0.25">
      <c r="A6" s="126" t="s">
        <v>35</v>
      </c>
      <c r="B6" s="126"/>
      <c r="C6" s="126"/>
    </row>
    <row r="7" spans="1:3" ht="16.5" thickBot="1" x14ac:dyDescent="0.3">
      <c r="A7" s="127" t="s">
        <v>286</v>
      </c>
      <c r="B7" s="127"/>
      <c r="C7" s="127"/>
    </row>
    <row r="8" spans="1:3" ht="15.75" x14ac:dyDescent="0.25">
      <c r="A8" s="9" t="s">
        <v>2</v>
      </c>
      <c r="B8" s="13" t="s">
        <v>4</v>
      </c>
      <c r="C8" s="2" t="s">
        <v>5</v>
      </c>
    </row>
    <row r="9" spans="1:3" ht="15.75" x14ac:dyDescent="0.25">
      <c r="A9" s="10" t="s">
        <v>3</v>
      </c>
      <c r="B9" s="3"/>
      <c r="C9" s="3"/>
    </row>
    <row r="10" spans="1:3" ht="15.75" x14ac:dyDescent="0.25">
      <c r="A10" s="14" t="s">
        <v>0</v>
      </c>
      <c r="B10" s="64" t="s">
        <v>6</v>
      </c>
      <c r="C10" s="67"/>
    </row>
    <row r="11" spans="1:3" ht="15.75" x14ac:dyDescent="0.25">
      <c r="A11" s="6"/>
      <c r="B11" s="63" t="s">
        <v>96</v>
      </c>
      <c r="C11" s="67"/>
    </row>
    <row r="12" spans="1:3" ht="15.75" x14ac:dyDescent="0.25">
      <c r="A12" s="6"/>
      <c r="B12" s="63" t="s">
        <v>7</v>
      </c>
      <c r="C12" s="67"/>
    </row>
    <row r="13" spans="1:3" ht="15.75" x14ac:dyDescent="0.25">
      <c r="A13" s="6"/>
      <c r="B13" s="63" t="s">
        <v>8</v>
      </c>
      <c r="C13" s="67"/>
    </row>
    <row r="14" spans="1:3" ht="15.75" x14ac:dyDescent="0.25">
      <c r="A14" s="6"/>
      <c r="B14" s="63" t="s">
        <v>56</v>
      </c>
      <c r="C14" s="67"/>
    </row>
    <row r="15" spans="1:3" ht="15.75" x14ac:dyDescent="0.25">
      <c r="A15" s="14" t="s">
        <v>10</v>
      </c>
      <c r="B15" s="64" t="s">
        <v>11</v>
      </c>
      <c r="C15" s="70">
        <f>SUM(C16+C25)</f>
        <v>239.80961904761904</v>
      </c>
    </row>
    <row r="16" spans="1:3" ht="15.75" x14ac:dyDescent="0.25">
      <c r="A16" s="6"/>
      <c r="B16" s="63" t="s">
        <v>296</v>
      </c>
      <c r="C16" s="70">
        <f>SUM(C17+C21)/21</f>
        <v>200.47619047619048</v>
      </c>
    </row>
    <row r="17" spans="1:3" ht="15.75" x14ac:dyDescent="0.25">
      <c r="A17" s="6"/>
      <c r="B17" s="63" t="s">
        <v>58</v>
      </c>
      <c r="C17" s="70">
        <f>SUM(C18:C19)</f>
        <v>1150</v>
      </c>
    </row>
    <row r="18" spans="1:3" ht="15.75" x14ac:dyDescent="0.25">
      <c r="A18" s="6"/>
      <c r="B18" s="63" t="s">
        <v>13</v>
      </c>
      <c r="C18" s="67">
        <v>1000</v>
      </c>
    </row>
    <row r="19" spans="1:3" ht="15.75" x14ac:dyDescent="0.25">
      <c r="A19" s="6"/>
      <c r="B19" s="63" t="s">
        <v>14</v>
      </c>
      <c r="C19" s="67">
        <f>SUM(C20)</f>
        <v>150</v>
      </c>
    </row>
    <row r="20" spans="1:3" ht="15.75" x14ac:dyDescent="0.25">
      <c r="A20" s="6"/>
      <c r="B20" s="71" t="s">
        <v>59</v>
      </c>
      <c r="C20" s="67">
        <v>150</v>
      </c>
    </row>
    <row r="21" spans="1:3" ht="15.75" x14ac:dyDescent="0.25">
      <c r="A21" s="6"/>
      <c r="B21" s="63" t="s">
        <v>38</v>
      </c>
      <c r="C21" s="70">
        <f>SUM(C22+C23)</f>
        <v>3060</v>
      </c>
    </row>
    <row r="22" spans="1:3" ht="15.75" x14ac:dyDescent="0.25">
      <c r="A22" s="6"/>
      <c r="B22" s="63" t="s">
        <v>15</v>
      </c>
      <c r="C22" s="67">
        <v>2550</v>
      </c>
    </row>
    <row r="23" spans="1:3" ht="15.75" x14ac:dyDescent="0.25">
      <c r="A23" s="6"/>
      <c r="B23" s="63" t="s">
        <v>16</v>
      </c>
      <c r="C23" s="67">
        <v>510</v>
      </c>
    </row>
    <row r="24" spans="1:3" ht="15.75" x14ac:dyDescent="0.25">
      <c r="A24" s="6"/>
      <c r="B24" s="71" t="s">
        <v>185</v>
      </c>
      <c r="C24" s="67">
        <v>510</v>
      </c>
    </row>
    <row r="25" spans="1:3" ht="15.75" x14ac:dyDescent="0.25">
      <c r="A25" s="6"/>
      <c r="B25" s="63" t="s">
        <v>17</v>
      </c>
      <c r="C25" s="70">
        <f>SUM(C26:C28)</f>
        <v>39.33342857142857</v>
      </c>
    </row>
    <row r="26" spans="1:3" ht="15.75" x14ac:dyDescent="0.25">
      <c r="A26" s="6"/>
      <c r="B26" s="63" t="s">
        <v>297</v>
      </c>
      <c r="C26" s="67">
        <f>SUM(C16*12.02%)</f>
        <v>24.097238095238097</v>
      </c>
    </row>
    <row r="27" spans="1:3" ht="15.75" x14ac:dyDescent="0.25">
      <c r="A27" s="6"/>
      <c r="B27" s="63" t="s">
        <v>298</v>
      </c>
      <c r="C27" s="67">
        <f>SUM(C16*4.8%)</f>
        <v>9.6228571428571428</v>
      </c>
    </row>
    <row r="28" spans="1:3" ht="15.75" x14ac:dyDescent="0.25">
      <c r="A28" s="6"/>
      <c r="B28" s="63" t="s">
        <v>299</v>
      </c>
      <c r="C28" s="67">
        <f>SUM(C16*2.8%)</f>
        <v>5.6133333333333333</v>
      </c>
    </row>
    <row r="29" spans="1:3" ht="15.75" hidden="1" x14ac:dyDescent="0.25">
      <c r="A29" s="6"/>
      <c r="B29" s="4" t="s">
        <v>68</v>
      </c>
      <c r="C29" s="12">
        <v>2.0699999999999998</v>
      </c>
    </row>
    <row r="30" spans="1:3" ht="15.75" x14ac:dyDescent="0.25">
      <c r="A30" s="14" t="s">
        <v>1</v>
      </c>
      <c r="B30" s="5" t="s">
        <v>18</v>
      </c>
      <c r="C30" s="16">
        <f>C46+C47</f>
        <v>233.43</v>
      </c>
    </row>
    <row r="31" spans="1:3" ht="15.75" x14ac:dyDescent="0.25">
      <c r="A31" s="14"/>
      <c r="B31" s="24" t="s">
        <v>182</v>
      </c>
      <c r="C31" s="16"/>
    </row>
    <row r="32" spans="1:3" ht="15.75" x14ac:dyDescent="0.25">
      <c r="A32" s="6"/>
      <c r="B32" s="4" t="s">
        <v>39</v>
      </c>
      <c r="C32" s="12"/>
    </row>
    <row r="33" spans="1:3" ht="15.75" x14ac:dyDescent="0.25">
      <c r="A33" s="6"/>
      <c r="B33" s="4" t="s">
        <v>105</v>
      </c>
      <c r="C33" s="12"/>
    </row>
    <row r="34" spans="1:3" ht="15.75" x14ac:dyDescent="0.25">
      <c r="A34" s="6"/>
      <c r="B34" s="4" t="s">
        <v>40</v>
      </c>
      <c r="C34" s="12"/>
    </row>
    <row r="35" spans="1:3" ht="15.75" x14ac:dyDescent="0.25">
      <c r="A35" s="6"/>
      <c r="B35" s="4" t="s">
        <v>329</v>
      </c>
      <c r="C35" s="12"/>
    </row>
    <row r="36" spans="1:3" s="62" customFormat="1" ht="15.75" x14ac:dyDescent="0.25">
      <c r="A36" s="65"/>
      <c r="B36" s="63" t="s">
        <v>211</v>
      </c>
      <c r="C36" s="67"/>
    </row>
    <row r="37" spans="1:3" s="62" customFormat="1" ht="15.75" x14ac:dyDescent="0.25">
      <c r="A37" s="65"/>
      <c r="B37" s="63" t="s">
        <v>212</v>
      </c>
      <c r="C37" s="67"/>
    </row>
    <row r="38" spans="1:3" ht="15.75" x14ac:dyDescent="0.25">
      <c r="A38" s="6"/>
      <c r="B38" s="4" t="s">
        <v>210</v>
      </c>
      <c r="C38" s="12"/>
    </row>
    <row r="39" spans="1:3" ht="15.75" x14ac:dyDescent="0.25">
      <c r="A39" s="6"/>
      <c r="B39" s="4" t="s">
        <v>154</v>
      </c>
      <c r="C39" s="12"/>
    </row>
    <row r="40" spans="1:3" ht="15.75" hidden="1" x14ac:dyDescent="0.25">
      <c r="A40" s="6"/>
      <c r="B40" s="4" t="s">
        <v>66</v>
      </c>
      <c r="C40" s="12"/>
    </row>
    <row r="41" spans="1:3" s="11" customFormat="1" ht="15.75" hidden="1" x14ac:dyDescent="0.25">
      <c r="A41" s="52"/>
      <c r="B41" s="5" t="s">
        <v>82</v>
      </c>
      <c r="C41" s="16"/>
    </row>
    <row r="42" spans="1:3" ht="15.75" x14ac:dyDescent="0.25">
      <c r="A42" s="6"/>
      <c r="B42" s="4" t="s">
        <v>46</v>
      </c>
      <c r="C42" s="12"/>
    </row>
    <row r="43" spans="1:3" ht="15.75" x14ac:dyDescent="0.25">
      <c r="A43" s="6"/>
      <c r="B43" s="4" t="s">
        <v>213</v>
      </c>
      <c r="C43" s="12"/>
    </row>
    <row r="44" spans="1:3" ht="15.75" x14ac:dyDescent="0.25">
      <c r="A44" s="6"/>
      <c r="B44" s="4" t="s">
        <v>155</v>
      </c>
      <c r="C44" s="12"/>
    </row>
    <row r="45" spans="1:3" ht="15.75" x14ac:dyDescent="0.25">
      <c r="A45" s="6"/>
      <c r="B45" s="4" t="s">
        <v>156</v>
      </c>
      <c r="C45" s="12"/>
    </row>
    <row r="46" spans="1:3" ht="15.75" x14ac:dyDescent="0.25">
      <c r="A46" s="6"/>
      <c r="B46" s="4" t="s">
        <v>300</v>
      </c>
      <c r="C46" s="25">
        <v>225.09</v>
      </c>
    </row>
    <row r="47" spans="1:3" ht="15.75" x14ac:dyDescent="0.25">
      <c r="A47" s="6"/>
      <c r="B47" s="4" t="s">
        <v>19</v>
      </c>
      <c r="C47" s="94">
        <f>C50+C53+C55+C57</f>
        <v>8.3400000000000016</v>
      </c>
    </row>
    <row r="48" spans="1:3" ht="15.75" x14ac:dyDescent="0.25">
      <c r="A48" s="6"/>
      <c r="B48" s="4" t="s">
        <v>303</v>
      </c>
      <c r="C48" s="12"/>
    </row>
    <row r="49" spans="1:3" ht="15.75" x14ac:dyDescent="0.25">
      <c r="A49" s="6"/>
      <c r="B49" s="4" t="s">
        <v>108</v>
      </c>
      <c r="C49" s="12"/>
    </row>
    <row r="50" spans="1:3" ht="15.75" x14ac:dyDescent="0.25">
      <c r="A50" s="6"/>
      <c r="B50" s="4" t="s">
        <v>157</v>
      </c>
      <c r="C50" s="12">
        <v>5.44</v>
      </c>
    </row>
    <row r="51" spans="1:3" ht="15.75" x14ac:dyDescent="0.25">
      <c r="A51" s="6"/>
      <c r="B51" s="4" t="s">
        <v>109</v>
      </c>
      <c r="C51" s="12"/>
    </row>
    <row r="52" spans="1:3" ht="15.75" x14ac:dyDescent="0.25">
      <c r="A52" s="6"/>
      <c r="B52" s="4" t="s">
        <v>22</v>
      </c>
      <c r="C52" s="12"/>
    </row>
    <row r="53" spans="1:3" ht="15.75" x14ac:dyDescent="0.25">
      <c r="A53" s="6"/>
      <c r="B53" s="4" t="s">
        <v>103</v>
      </c>
      <c r="C53" s="12">
        <v>1.27</v>
      </c>
    </row>
    <row r="54" spans="1:3" ht="15.75" x14ac:dyDescent="0.25">
      <c r="A54" s="6"/>
      <c r="B54" s="4" t="s">
        <v>23</v>
      </c>
      <c r="C54" s="12"/>
    </row>
    <row r="55" spans="1:3" ht="15.75" x14ac:dyDescent="0.25">
      <c r="A55" s="6"/>
      <c r="B55" s="4" t="s">
        <v>104</v>
      </c>
      <c r="C55" s="12">
        <v>0.32</v>
      </c>
    </row>
    <row r="56" spans="1:3" ht="15.75" x14ac:dyDescent="0.25">
      <c r="A56" s="6"/>
      <c r="B56" s="4" t="s">
        <v>24</v>
      </c>
      <c r="C56" s="12"/>
    </row>
    <row r="57" spans="1:3" ht="15.75" x14ac:dyDescent="0.25">
      <c r="A57" s="6"/>
      <c r="B57" s="4" t="s">
        <v>274</v>
      </c>
      <c r="C57" s="12">
        <v>1.31</v>
      </c>
    </row>
    <row r="58" spans="1:3" ht="15.75" x14ac:dyDescent="0.25">
      <c r="A58" s="14" t="s">
        <v>25</v>
      </c>
      <c r="B58" s="5" t="s">
        <v>301</v>
      </c>
      <c r="C58" s="70">
        <f>SUM(C30*0.3)</f>
        <v>70.028999999999996</v>
      </c>
    </row>
    <row r="59" spans="1:3" ht="15.75" x14ac:dyDescent="0.25">
      <c r="A59" s="14" t="s">
        <v>26</v>
      </c>
      <c r="B59" s="5" t="s">
        <v>302</v>
      </c>
      <c r="C59" s="70">
        <f>SUM(C15*1.2)</f>
        <v>287.77154285714283</v>
      </c>
    </row>
    <row r="60" spans="1:3" ht="15.75" x14ac:dyDescent="0.25">
      <c r="A60" s="14" t="s">
        <v>27</v>
      </c>
      <c r="B60" s="5" t="s">
        <v>42</v>
      </c>
      <c r="C60" s="70">
        <f>SUM(C59+C58+C30+C15)</f>
        <v>831.04016190476182</v>
      </c>
    </row>
    <row r="61" spans="1:3" s="62" customFormat="1" ht="15.75" x14ac:dyDescent="0.25">
      <c r="A61" s="68" t="s">
        <v>28</v>
      </c>
      <c r="B61" s="64" t="s">
        <v>307</v>
      </c>
      <c r="C61" s="94">
        <v>664.23</v>
      </c>
    </row>
    <row r="62" spans="1:3" ht="15.75" x14ac:dyDescent="0.25">
      <c r="A62" s="68" t="s">
        <v>29</v>
      </c>
      <c r="B62" s="64" t="s">
        <v>190</v>
      </c>
      <c r="C62" s="70">
        <v>169.33</v>
      </c>
    </row>
    <row r="63" spans="1:3" ht="15.75" x14ac:dyDescent="0.25">
      <c r="A63" s="68" t="s">
        <v>33</v>
      </c>
      <c r="B63" s="5" t="s">
        <v>43</v>
      </c>
      <c r="C63" s="70">
        <f>SUM(C60:C62)</f>
        <v>1664.6001619047618</v>
      </c>
    </row>
    <row r="64" spans="1:3" ht="18.75" x14ac:dyDescent="0.3">
      <c r="A64" s="68" t="s">
        <v>34</v>
      </c>
      <c r="B64" s="58" t="s">
        <v>429</v>
      </c>
      <c r="C64" s="70">
        <f>SUM(C63*52)</f>
        <v>86559.208419047616</v>
      </c>
    </row>
    <row r="65" spans="1:7" ht="15.75" x14ac:dyDescent="0.25">
      <c r="A65" s="14"/>
      <c r="B65" s="5"/>
      <c r="C65" s="16"/>
    </row>
    <row r="66" spans="1:7" ht="15.75" x14ac:dyDescent="0.25">
      <c r="A66" s="48"/>
      <c r="C66" s="16">
        <f>SUM(C64:C65)</f>
        <v>86559.208419047616</v>
      </c>
    </row>
    <row r="67" spans="1:7" ht="15.75" x14ac:dyDescent="0.25">
      <c r="A67" s="8"/>
      <c r="B67" s="22" t="s">
        <v>258</v>
      </c>
      <c r="C67" s="15"/>
    </row>
    <row r="68" spans="1:7" ht="15.75" x14ac:dyDescent="0.25">
      <c r="A68" s="8"/>
      <c r="B68" s="22"/>
    </row>
    <row r="69" spans="1:7" ht="15.75" x14ac:dyDescent="0.25">
      <c r="A69" s="8"/>
      <c r="B69" s="36"/>
    </row>
    <row r="70" spans="1:7" ht="15.75" x14ac:dyDescent="0.25">
      <c r="A70" s="8"/>
      <c r="B70" t="s">
        <v>77</v>
      </c>
      <c r="C70" s="63" t="s">
        <v>133</v>
      </c>
      <c r="D70" s="63" t="s">
        <v>134</v>
      </c>
    </row>
    <row r="71" spans="1:7" ht="15.75" x14ac:dyDescent="0.25">
      <c r="A71" s="8"/>
      <c r="B71" t="s">
        <v>308</v>
      </c>
      <c r="C71" s="89">
        <f>13922.11-D71</f>
        <v>8771.61</v>
      </c>
      <c r="D71" s="95">
        <v>5150.5</v>
      </c>
    </row>
    <row r="72" spans="1:7" ht="15.75" x14ac:dyDescent="0.25">
      <c r="A72" s="8"/>
      <c r="B72" t="s">
        <v>309</v>
      </c>
      <c r="C72" s="89">
        <f>29660.19-D72</f>
        <v>17659.43</v>
      </c>
      <c r="D72" s="89">
        <v>12000.76</v>
      </c>
      <c r="G72" s="88"/>
    </row>
    <row r="73" spans="1:7" ht="15.75" hidden="1" x14ac:dyDescent="0.25">
      <c r="A73" s="8"/>
      <c r="B73" s="51" t="s">
        <v>78</v>
      </c>
      <c r="C73" s="63"/>
      <c r="D73" s="89"/>
    </row>
    <row r="74" spans="1:7" ht="15.75" hidden="1" x14ac:dyDescent="0.25">
      <c r="A74" s="8"/>
      <c r="B74" s="51" t="s">
        <v>79</v>
      </c>
      <c r="C74" s="63"/>
      <c r="D74" s="89"/>
    </row>
    <row r="75" spans="1:7" ht="15.75" x14ac:dyDescent="0.25">
      <c r="A75" s="8"/>
      <c r="B75" s="62" t="s">
        <v>310</v>
      </c>
      <c r="C75" s="89">
        <f>16948.68-D75</f>
        <v>10091.1</v>
      </c>
      <c r="D75" s="89">
        <v>6857.58</v>
      </c>
    </row>
    <row r="76" spans="1:7" ht="15.75" x14ac:dyDescent="0.25">
      <c r="A76" s="8"/>
      <c r="B76" s="62" t="s">
        <v>311</v>
      </c>
      <c r="C76" s="89">
        <f>26028.23-D76</f>
        <v>15497.109999999999</v>
      </c>
      <c r="D76" s="89">
        <v>10531.12</v>
      </c>
    </row>
    <row r="77" spans="1:7" ht="15.75" x14ac:dyDescent="0.25">
      <c r="A77" s="8"/>
      <c r="B77" s="121" t="s">
        <v>304</v>
      </c>
      <c r="C77" s="84">
        <v>52019.25</v>
      </c>
      <c r="D77" s="96">
        <f>C61*52</f>
        <v>34539.96</v>
      </c>
      <c r="E77" s="69"/>
    </row>
    <row r="78" spans="1:7" s="62" customFormat="1" ht="15.75" x14ac:dyDescent="0.25">
      <c r="A78" s="66"/>
      <c r="B78" s="113"/>
      <c r="C78" s="53"/>
      <c r="D78" s="69"/>
    </row>
    <row r="79" spans="1:7" ht="27" customHeight="1" x14ac:dyDescent="0.25">
      <c r="A79" s="8"/>
      <c r="B79" s="128" t="s">
        <v>238</v>
      </c>
      <c r="C79" s="128"/>
      <c r="D79" s="128"/>
    </row>
  </sheetData>
  <mergeCells count="3">
    <mergeCell ref="A6:C6"/>
    <mergeCell ref="A7:C7"/>
    <mergeCell ref="B79:D79"/>
  </mergeCells>
  <pageMargins left="0.7" right="0.7" top="0.75" bottom="0.75" header="0.3" footer="0.3"/>
  <pageSetup paperSize="9" scale="63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opLeftCell="A53" zoomScale="110" zoomScaleNormal="110" workbookViewId="0">
      <selection activeCell="B59" sqref="B59"/>
    </sheetView>
  </sheetViews>
  <sheetFormatPr defaultRowHeight="15" x14ac:dyDescent="0.25"/>
  <cols>
    <col min="2" max="2" width="75.7109375" customWidth="1"/>
    <col min="3" max="3" width="17.140625" customWidth="1"/>
    <col min="4" max="4" width="14.85546875" customWidth="1"/>
  </cols>
  <sheetData>
    <row r="1" spans="1:3" ht="15.75" x14ac:dyDescent="0.25">
      <c r="A1" s="8"/>
      <c r="B1" s="19" t="s">
        <v>85</v>
      </c>
    </row>
    <row r="2" spans="1:3" ht="15.75" x14ac:dyDescent="0.25">
      <c r="A2" s="8"/>
      <c r="B2" s="7"/>
    </row>
    <row r="3" spans="1:3" ht="18.75" x14ac:dyDescent="0.3">
      <c r="A3" s="8"/>
      <c r="B3" s="18" t="s">
        <v>32</v>
      </c>
      <c r="C3" s="55"/>
    </row>
    <row r="4" spans="1:3" ht="18.75" x14ac:dyDescent="0.3">
      <c r="A4" s="8"/>
      <c r="B4" s="18"/>
    </row>
    <row r="5" spans="1:3" x14ac:dyDescent="0.25">
      <c r="A5" s="126" t="s">
        <v>35</v>
      </c>
      <c r="B5" s="126"/>
      <c r="C5" s="126"/>
    </row>
    <row r="6" spans="1:3" ht="16.5" thickBot="1" x14ac:dyDescent="0.3">
      <c r="A6" s="129" t="s">
        <v>216</v>
      </c>
      <c r="B6" s="129"/>
      <c r="C6" s="129"/>
    </row>
    <row r="7" spans="1:3" ht="15.75" x14ac:dyDescent="0.25">
      <c r="A7" s="9" t="s">
        <v>2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64" t="s">
        <v>6</v>
      </c>
      <c r="C9" s="67"/>
    </row>
    <row r="10" spans="1:3" ht="15.75" x14ac:dyDescent="0.25">
      <c r="A10" s="6"/>
      <c r="B10" s="63" t="s">
        <v>96</v>
      </c>
      <c r="C10" s="67"/>
    </row>
    <row r="11" spans="1:3" ht="15.75" x14ac:dyDescent="0.25">
      <c r="A11" s="6"/>
      <c r="B11" s="63" t="s">
        <v>7</v>
      </c>
      <c r="C11" s="67"/>
    </row>
    <row r="12" spans="1:3" ht="15.75" x14ac:dyDescent="0.25">
      <c r="A12" s="6"/>
      <c r="B12" s="63" t="s">
        <v>8</v>
      </c>
      <c r="C12" s="67"/>
    </row>
    <row r="13" spans="1:3" ht="15.75" x14ac:dyDescent="0.25">
      <c r="A13" s="6"/>
      <c r="B13" s="63" t="s">
        <v>56</v>
      </c>
      <c r="C13" s="67"/>
    </row>
    <row r="14" spans="1:3" ht="15.75" x14ac:dyDescent="0.25">
      <c r="A14" s="14" t="s">
        <v>10</v>
      </c>
      <c r="B14" s="64" t="s">
        <v>11</v>
      </c>
      <c r="C14" s="70">
        <f>SUM(C15+C24)</f>
        <v>242.65771428571429</v>
      </c>
    </row>
    <row r="15" spans="1:3" ht="15.75" x14ac:dyDescent="0.25">
      <c r="A15" s="6"/>
      <c r="B15" s="63" t="s">
        <v>315</v>
      </c>
      <c r="C15" s="70">
        <f>SUM(C16+C20)/21</f>
        <v>202.85714285714286</v>
      </c>
    </row>
    <row r="16" spans="1:3" ht="15.75" x14ac:dyDescent="0.25">
      <c r="A16" s="6"/>
      <c r="B16" s="63" t="s">
        <v>58</v>
      </c>
      <c r="C16" s="70">
        <f>SUM(C17:C18)</f>
        <v>1200</v>
      </c>
    </row>
    <row r="17" spans="1:3" ht="15.75" x14ac:dyDescent="0.25">
      <c r="A17" s="6"/>
      <c r="B17" s="63" t="s">
        <v>13</v>
      </c>
      <c r="C17" s="67">
        <v>1000</v>
      </c>
    </row>
    <row r="18" spans="1:3" ht="15.75" x14ac:dyDescent="0.25">
      <c r="A18" s="6"/>
      <c r="B18" s="63" t="s">
        <v>14</v>
      </c>
      <c r="C18" s="67">
        <v>200</v>
      </c>
    </row>
    <row r="19" spans="1:3" ht="15.75" x14ac:dyDescent="0.25">
      <c r="A19" s="6"/>
      <c r="B19" s="71" t="s">
        <v>185</v>
      </c>
      <c r="C19" s="67">
        <v>200</v>
      </c>
    </row>
    <row r="20" spans="1:3" ht="15.75" x14ac:dyDescent="0.25">
      <c r="A20" s="6"/>
      <c r="B20" s="63" t="s">
        <v>38</v>
      </c>
      <c r="C20" s="70">
        <f>SUM(C21:C22)</f>
        <v>3060</v>
      </c>
    </row>
    <row r="21" spans="1:3" ht="15.75" x14ac:dyDescent="0.25">
      <c r="A21" s="6"/>
      <c r="B21" s="63" t="s">
        <v>15</v>
      </c>
      <c r="C21" s="67">
        <v>2550</v>
      </c>
    </row>
    <row r="22" spans="1:3" ht="15.75" x14ac:dyDescent="0.25">
      <c r="A22" s="6"/>
      <c r="B22" s="63" t="s">
        <v>16</v>
      </c>
      <c r="C22" s="67">
        <v>510</v>
      </c>
    </row>
    <row r="23" spans="1:3" ht="15.75" x14ac:dyDescent="0.25">
      <c r="A23" s="6"/>
      <c r="B23" s="71" t="s">
        <v>185</v>
      </c>
      <c r="C23" s="67">
        <v>510</v>
      </c>
    </row>
    <row r="24" spans="1:3" ht="15.75" x14ac:dyDescent="0.25">
      <c r="A24" s="6"/>
      <c r="B24" s="63" t="s">
        <v>17</v>
      </c>
      <c r="C24" s="70">
        <f>SUM(C25:C27)</f>
        <v>39.800571428571423</v>
      </c>
    </row>
    <row r="25" spans="1:3" ht="15.75" x14ac:dyDescent="0.25">
      <c r="A25" s="6"/>
      <c r="B25" s="63" t="s">
        <v>316</v>
      </c>
      <c r="C25" s="67">
        <f>SUM(C15*12.02%)</f>
        <v>24.383428571428571</v>
      </c>
    </row>
    <row r="26" spans="1:3" ht="15.75" x14ac:dyDescent="0.25">
      <c r="A26" s="6"/>
      <c r="B26" s="63" t="s">
        <v>317</v>
      </c>
      <c r="C26" s="67">
        <f>SUM(C15*4.8%)</f>
        <v>9.7371428571428567</v>
      </c>
    </row>
    <row r="27" spans="1:3" ht="15.75" x14ac:dyDescent="0.25">
      <c r="A27" s="6"/>
      <c r="B27" s="63" t="s">
        <v>318</v>
      </c>
      <c r="C27" s="67">
        <f>SUM(C15*2.8%)</f>
        <v>5.68</v>
      </c>
    </row>
    <row r="28" spans="1:3" ht="15.75" hidden="1" x14ac:dyDescent="0.25">
      <c r="A28" s="6"/>
      <c r="B28" s="4" t="s">
        <v>68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f>C41+C42</f>
        <v>237.32</v>
      </c>
    </row>
    <row r="30" spans="1:3" ht="15.75" x14ac:dyDescent="0.25">
      <c r="A30" s="14"/>
      <c r="B30" s="24" t="s">
        <v>183</v>
      </c>
      <c r="C30" s="16"/>
    </row>
    <row r="31" spans="1:3" ht="15.75" x14ac:dyDescent="0.25">
      <c r="A31" s="6"/>
      <c r="B31" s="4" t="s">
        <v>98</v>
      </c>
      <c r="C31" s="12"/>
    </row>
    <row r="32" spans="1:3" ht="15.75" x14ac:dyDescent="0.25">
      <c r="A32" s="6"/>
      <c r="B32" s="4" t="s">
        <v>110</v>
      </c>
      <c r="C32" s="12"/>
    </row>
    <row r="33" spans="1:3" ht="15.75" x14ac:dyDescent="0.25">
      <c r="A33" s="6"/>
      <c r="B33" s="4" t="s">
        <v>40</v>
      </c>
      <c r="C33" s="12"/>
    </row>
    <row r="34" spans="1:3" ht="15.75" x14ac:dyDescent="0.25">
      <c r="A34" s="6"/>
      <c r="B34" s="4" t="s">
        <v>214</v>
      </c>
      <c r="C34" s="12"/>
    </row>
    <row r="35" spans="1:3" ht="15.75" x14ac:dyDescent="0.25">
      <c r="A35" s="6"/>
      <c r="B35" s="4" t="s">
        <v>186</v>
      </c>
      <c r="C35" s="12"/>
    </row>
    <row r="36" spans="1:3" ht="15.75" x14ac:dyDescent="0.25">
      <c r="A36" s="6"/>
      <c r="B36" s="4" t="s">
        <v>158</v>
      </c>
      <c r="C36" s="12"/>
    </row>
    <row r="37" spans="1:3" ht="15.75" x14ac:dyDescent="0.25">
      <c r="A37" s="6"/>
      <c r="B37" s="4" t="s">
        <v>46</v>
      </c>
      <c r="C37" s="12"/>
    </row>
    <row r="38" spans="1:3" ht="15.75" x14ac:dyDescent="0.25">
      <c r="A38" s="6"/>
      <c r="B38" s="4" t="s">
        <v>187</v>
      </c>
      <c r="C38" s="12"/>
    </row>
    <row r="39" spans="1:3" ht="15.75" x14ac:dyDescent="0.25">
      <c r="A39" s="6"/>
      <c r="B39" s="4" t="s">
        <v>159</v>
      </c>
      <c r="C39" s="12"/>
    </row>
    <row r="40" spans="1:3" ht="15.75" x14ac:dyDescent="0.25">
      <c r="A40" s="6"/>
      <c r="B40" s="4" t="s">
        <v>160</v>
      </c>
      <c r="C40" s="12"/>
    </row>
    <row r="41" spans="1:3" ht="15.75" x14ac:dyDescent="0.25">
      <c r="A41" s="6"/>
      <c r="B41" s="4" t="s">
        <v>319</v>
      </c>
      <c r="C41" s="16">
        <v>228.89</v>
      </c>
    </row>
    <row r="42" spans="1:3" ht="15.75" x14ac:dyDescent="0.25">
      <c r="A42" s="6"/>
      <c r="B42" s="4" t="s">
        <v>19</v>
      </c>
      <c r="C42" s="16">
        <f>C45+C48+C50+C52</f>
        <v>8.43</v>
      </c>
    </row>
    <row r="43" spans="1:3" ht="15.75" x14ac:dyDescent="0.25">
      <c r="A43" s="6"/>
      <c r="B43" s="4" t="s">
        <v>303</v>
      </c>
      <c r="C43" s="12"/>
    </row>
    <row r="44" spans="1:3" ht="15.75" x14ac:dyDescent="0.25">
      <c r="A44" s="6"/>
      <c r="B44" s="4" t="s">
        <v>20</v>
      </c>
      <c r="C44" s="12"/>
    </row>
    <row r="45" spans="1:3" ht="15.75" x14ac:dyDescent="0.25">
      <c r="A45" s="6"/>
      <c r="B45" s="4" t="s">
        <v>161</v>
      </c>
      <c r="C45" s="12">
        <v>5.52</v>
      </c>
    </row>
    <row r="46" spans="1:3" ht="15.75" x14ac:dyDescent="0.25">
      <c r="A46" s="6"/>
      <c r="B46" s="4" t="s">
        <v>102</v>
      </c>
      <c r="C46" s="12"/>
    </row>
    <row r="47" spans="1:3" ht="15.75" x14ac:dyDescent="0.25">
      <c r="A47" s="6"/>
      <c r="B47" s="4" t="s">
        <v>22</v>
      </c>
      <c r="C47" s="12"/>
    </row>
    <row r="48" spans="1:3" ht="15.75" x14ac:dyDescent="0.25">
      <c r="A48" s="6"/>
      <c r="B48" s="4" t="s">
        <v>103</v>
      </c>
      <c r="C48" s="12">
        <v>1.27</v>
      </c>
    </row>
    <row r="49" spans="1:4" ht="15.75" x14ac:dyDescent="0.25">
      <c r="A49" s="6"/>
      <c r="B49" s="4" t="s">
        <v>23</v>
      </c>
      <c r="C49" s="12"/>
    </row>
    <row r="50" spans="1:4" ht="15.75" x14ac:dyDescent="0.25">
      <c r="A50" s="6"/>
      <c r="B50" s="4" t="s">
        <v>320</v>
      </c>
      <c r="C50" s="12">
        <v>0.33</v>
      </c>
    </row>
    <row r="51" spans="1:4" ht="15.75" x14ac:dyDescent="0.25">
      <c r="A51" s="6"/>
      <c r="B51" s="4" t="s">
        <v>24</v>
      </c>
      <c r="C51" s="12"/>
    </row>
    <row r="52" spans="1:4" ht="15.75" x14ac:dyDescent="0.25">
      <c r="A52" s="6"/>
      <c r="B52" s="4" t="s">
        <v>274</v>
      </c>
      <c r="C52" s="12">
        <v>1.31</v>
      </c>
    </row>
    <row r="53" spans="1:4" ht="15.75" x14ac:dyDescent="0.25">
      <c r="A53" s="14" t="s">
        <v>25</v>
      </c>
      <c r="B53" s="5" t="s">
        <v>321</v>
      </c>
      <c r="C53" s="16">
        <f>SUM(C29*0.3)</f>
        <v>71.195999999999998</v>
      </c>
    </row>
    <row r="54" spans="1:4" ht="15.75" x14ac:dyDescent="0.25">
      <c r="A54" s="14" t="s">
        <v>26</v>
      </c>
      <c r="B54" s="5" t="s">
        <v>322</v>
      </c>
      <c r="C54" s="16">
        <f>SUM(C14*1.2)</f>
        <v>291.18925714285712</v>
      </c>
    </row>
    <row r="55" spans="1:4" ht="15.75" x14ac:dyDescent="0.25">
      <c r="A55" s="14" t="s">
        <v>27</v>
      </c>
      <c r="B55" s="5" t="s">
        <v>42</v>
      </c>
      <c r="C55" s="16">
        <f>SUM(C14+C29+C53+C54)</f>
        <v>842.36297142857143</v>
      </c>
    </row>
    <row r="56" spans="1:4" s="62" customFormat="1" ht="15.75" x14ac:dyDescent="0.25">
      <c r="A56" s="68" t="s">
        <v>28</v>
      </c>
      <c r="B56" s="64" t="s">
        <v>323</v>
      </c>
      <c r="C56" s="70">
        <v>766.42</v>
      </c>
    </row>
    <row r="57" spans="1:4" ht="15.75" x14ac:dyDescent="0.25">
      <c r="A57" s="68" t="s">
        <v>29</v>
      </c>
      <c r="B57" s="64" t="s">
        <v>192</v>
      </c>
      <c r="C57" s="16">
        <v>195</v>
      </c>
    </row>
    <row r="58" spans="1:4" ht="15.75" x14ac:dyDescent="0.25">
      <c r="A58" s="68" t="s">
        <v>33</v>
      </c>
      <c r="B58" s="5" t="s">
        <v>43</v>
      </c>
      <c r="C58" s="16">
        <f>SUM(C55:C57)</f>
        <v>1803.7829714285713</v>
      </c>
    </row>
    <row r="59" spans="1:4" ht="18.75" x14ac:dyDescent="0.3">
      <c r="A59" s="68" t="s">
        <v>34</v>
      </c>
      <c r="B59" s="58" t="s">
        <v>430</v>
      </c>
      <c r="C59" s="16">
        <f>SUM(C58*52)</f>
        <v>93796.714514285704</v>
      </c>
    </row>
    <row r="60" spans="1:4" ht="15.75" x14ac:dyDescent="0.25">
      <c r="A60" s="68"/>
      <c r="B60" s="64"/>
      <c r="C60" s="16"/>
    </row>
    <row r="61" spans="1:4" ht="15.75" x14ac:dyDescent="0.25">
      <c r="A61" s="65"/>
      <c r="B61" s="63"/>
      <c r="C61" s="16">
        <f>SUM(C59:C60)</f>
        <v>93796.714514285704</v>
      </c>
    </row>
    <row r="62" spans="1:4" ht="15.75" x14ac:dyDescent="0.25">
      <c r="A62" s="8"/>
      <c r="B62" s="22" t="s">
        <v>277</v>
      </c>
      <c r="C62" s="15"/>
    </row>
    <row r="63" spans="1:4" ht="15.75" x14ac:dyDescent="0.25">
      <c r="A63" s="8"/>
      <c r="B63" s="36"/>
    </row>
    <row r="64" spans="1:4" ht="15.75" x14ac:dyDescent="0.25">
      <c r="A64" s="8"/>
      <c r="B64" t="s">
        <v>77</v>
      </c>
      <c r="C64" s="63" t="s">
        <v>131</v>
      </c>
      <c r="D64" s="63" t="s">
        <v>130</v>
      </c>
    </row>
    <row r="65" spans="1:6" ht="15.75" x14ac:dyDescent="0.25">
      <c r="A65" s="8"/>
      <c r="B65" t="s">
        <v>324</v>
      </c>
      <c r="C65" s="115">
        <f>42634.8-D65</f>
        <v>24519.06</v>
      </c>
      <c r="D65" s="115">
        <v>18115.740000000002</v>
      </c>
    </row>
    <row r="66" spans="1:6" ht="15.75" x14ac:dyDescent="0.25">
      <c r="A66" s="8"/>
      <c r="B66" t="s">
        <v>325</v>
      </c>
      <c r="C66" s="115">
        <f>51161.91-D66</f>
        <v>29423.810000000005</v>
      </c>
      <c r="D66" s="115">
        <v>21738.1</v>
      </c>
      <c r="F66" s="88"/>
    </row>
    <row r="67" spans="1:6" ht="18.75" x14ac:dyDescent="0.3">
      <c r="A67" s="8"/>
      <c r="B67" s="73"/>
      <c r="C67" s="115">
        <f>C65+C66</f>
        <v>53942.87000000001</v>
      </c>
      <c r="D67" s="115">
        <f>D65+D66</f>
        <v>39853.839999999997</v>
      </c>
      <c r="E67" s="88"/>
    </row>
    <row r="68" spans="1:6" s="11" customFormat="1" ht="15.75" x14ac:dyDescent="0.25">
      <c r="A68" s="49"/>
      <c r="B68" s="5" t="s">
        <v>218</v>
      </c>
      <c r="C68" s="84">
        <v>12.69</v>
      </c>
    </row>
    <row r="69" spans="1:6" s="11" customFormat="1" ht="15.75" x14ac:dyDescent="0.25">
      <c r="A69" s="49"/>
      <c r="B69" s="113"/>
      <c r="C69" s="53"/>
    </row>
    <row r="70" spans="1:6" s="11" customFormat="1" ht="15.75" x14ac:dyDescent="0.25">
      <c r="A70" s="49"/>
      <c r="B70" s="113"/>
      <c r="C70" s="53"/>
    </row>
    <row r="71" spans="1:6" ht="15.75" x14ac:dyDescent="0.25">
      <c r="A71" s="8"/>
      <c r="B71" s="125" t="s">
        <v>237</v>
      </c>
      <c r="C71" s="125"/>
    </row>
  </sheetData>
  <mergeCells count="3">
    <mergeCell ref="A5:C5"/>
    <mergeCell ref="A6:C6"/>
    <mergeCell ref="B71:C71"/>
  </mergeCells>
  <pageMargins left="0.7" right="0.7" top="0.75" bottom="0.75" header="0.3" footer="0.3"/>
  <pageSetup paperSize="9" scale="68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6"/>
  <sheetViews>
    <sheetView topLeftCell="A45" zoomScale="110" zoomScaleNormal="110" workbookViewId="0">
      <selection activeCell="B62" sqref="B62"/>
    </sheetView>
  </sheetViews>
  <sheetFormatPr defaultRowHeight="15" x14ac:dyDescent="0.25"/>
  <cols>
    <col min="2" max="2" width="75.42578125" customWidth="1"/>
    <col min="3" max="3" width="13" customWidth="1"/>
    <col min="4" max="4" width="13.7109375" customWidth="1"/>
    <col min="5" max="5" width="14.42578125" customWidth="1"/>
  </cols>
  <sheetData>
    <row r="2" spans="1:3" ht="15.75" x14ac:dyDescent="0.25">
      <c r="A2" s="8"/>
      <c r="B2" s="35" t="s">
        <v>31</v>
      </c>
    </row>
    <row r="3" spans="1:3" ht="15.75" x14ac:dyDescent="0.25">
      <c r="A3" s="8"/>
      <c r="B3" s="7"/>
    </row>
    <row r="4" spans="1:3" ht="18.75" x14ac:dyDescent="0.3">
      <c r="A4" s="8"/>
      <c r="B4" s="18" t="s">
        <v>32</v>
      </c>
      <c r="C4" s="55"/>
    </row>
    <row r="5" spans="1:3" ht="18.75" x14ac:dyDescent="0.3">
      <c r="A5" s="8"/>
      <c r="B5" s="18"/>
    </row>
    <row r="6" spans="1:3" x14ac:dyDescent="0.25">
      <c r="A6" s="126" t="s">
        <v>35</v>
      </c>
      <c r="B6" s="126"/>
      <c r="C6" s="126"/>
    </row>
    <row r="7" spans="1:3" ht="16.5" thickBot="1" x14ac:dyDescent="0.3">
      <c r="A7" s="129" t="s">
        <v>215</v>
      </c>
      <c r="B7" s="129"/>
      <c r="C7" s="130"/>
    </row>
    <row r="8" spans="1:3" ht="15.75" x14ac:dyDescent="0.25">
      <c r="A8" s="9" t="s">
        <v>2</v>
      </c>
      <c r="B8" s="77" t="s">
        <v>4</v>
      </c>
      <c r="C8" s="114" t="s">
        <v>5</v>
      </c>
    </row>
    <row r="9" spans="1:3" ht="15.75" x14ac:dyDescent="0.25">
      <c r="A9" s="10" t="s">
        <v>3</v>
      </c>
      <c r="B9" s="76"/>
      <c r="C9" s="63"/>
    </row>
    <row r="10" spans="1:3" ht="15.75" x14ac:dyDescent="0.25">
      <c r="A10" s="14" t="s">
        <v>0</v>
      </c>
      <c r="B10" s="64" t="s">
        <v>6</v>
      </c>
      <c r="C10" s="67"/>
    </row>
    <row r="11" spans="1:3" ht="15.75" x14ac:dyDescent="0.25">
      <c r="A11" s="6"/>
      <c r="B11" s="63" t="s">
        <v>96</v>
      </c>
      <c r="C11" s="67"/>
    </row>
    <row r="12" spans="1:3" ht="15.75" x14ac:dyDescent="0.25">
      <c r="A12" s="6"/>
      <c r="B12" s="63" t="s">
        <v>7</v>
      </c>
      <c r="C12" s="67"/>
    </row>
    <row r="13" spans="1:3" ht="15.75" x14ac:dyDescent="0.25">
      <c r="A13" s="6"/>
      <c r="B13" s="63" t="s">
        <v>8</v>
      </c>
      <c r="C13" s="67"/>
    </row>
    <row r="14" spans="1:3" ht="15.75" x14ac:dyDescent="0.25">
      <c r="A14" s="6"/>
      <c r="B14" s="63" t="s">
        <v>56</v>
      </c>
      <c r="C14" s="67"/>
    </row>
    <row r="15" spans="1:3" ht="15.75" x14ac:dyDescent="0.25">
      <c r="A15" s="14" t="s">
        <v>10</v>
      </c>
      <c r="B15" s="64" t="s">
        <v>11</v>
      </c>
      <c r="C15" s="70">
        <f>SUM(C16+C25)</f>
        <v>242.65771428571429</v>
      </c>
    </row>
    <row r="16" spans="1:3" ht="15.75" x14ac:dyDescent="0.25">
      <c r="A16" s="6"/>
      <c r="B16" s="63" t="s">
        <v>326</v>
      </c>
      <c r="C16" s="70">
        <f>SUM(C17+C21)/21</f>
        <v>202.85714285714286</v>
      </c>
    </row>
    <row r="17" spans="1:3" ht="15.75" x14ac:dyDescent="0.25">
      <c r="A17" s="6"/>
      <c r="B17" s="63" t="s">
        <v>58</v>
      </c>
      <c r="C17" s="70">
        <f>SUM(C18:C19)</f>
        <v>1200</v>
      </c>
    </row>
    <row r="18" spans="1:3" ht="15.75" x14ac:dyDescent="0.25">
      <c r="A18" s="6"/>
      <c r="B18" s="63" t="s">
        <v>13</v>
      </c>
      <c r="C18" s="67">
        <v>1000</v>
      </c>
    </row>
    <row r="19" spans="1:3" ht="15.75" x14ac:dyDescent="0.25">
      <c r="A19" s="6"/>
      <c r="B19" s="63" t="s">
        <v>14</v>
      </c>
      <c r="C19" s="67">
        <v>200</v>
      </c>
    </row>
    <row r="20" spans="1:3" ht="15.75" x14ac:dyDescent="0.25">
      <c r="A20" s="6"/>
      <c r="B20" s="71" t="s">
        <v>185</v>
      </c>
      <c r="C20" s="67">
        <v>200</v>
      </c>
    </row>
    <row r="21" spans="1:3" ht="15.75" x14ac:dyDescent="0.25">
      <c r="A21" s="6"/>
      <c r="B21" s="63" t="s">
        <v>38</v>
      </c>
      <c r="C21" s="70">
        <f>SUM(C22:C23)</f>
        <v>3060</v>
      </c>
    </row>
    <row r="22" spans="1:3" ht="15.75" x14ac:dyDescent="0.25">
      <c r="A22" s="6"/>
      <c r="B22" s="63" t="s">
        <v>15</v>
      </c>
      <c r="C22" s="67">
        <v>2550</v>
      </c>
    </row>
    <row r="23" spans="1:3" ht="15.75" x14ac:dyDescent="0.25">
      <c r="A23" s="6"/>
      <c r="B23" s="63" t="s">
        <v>16</v>
      </c>
      <c r="C23" s="67">
        <v>510</v>
      </c>
    </row>
    <row r="24" spans="1:3" ht="15.75" x14ac:dyDescent="0.25">
      <c r="A24" s="6"/>
      <c r="B24" s="71" t="s">
        <v>185</v>
      </c>
      <c r="C24" s="67">
        <v>510</v>
      </c>
    </row>
    <row r="25" spans="1:3" ht="15.75" x14ac:dyDescent="0.25">
      <c r="A25" s="6"/>
      <c r="B25" s="63" t="s">
        <v>17</v>
      </c>
      <c r="C25" s="70">
        <f>SUM(C26:C28)</f>
        <v>39.800571428571423</v>
      </c>
    </row>
    <row r="26" spans="1:3" ht="15.75" x14ac:dyDescent="0.25">
      <c r="A26" s="6"/>
      <c r="B26" s="63" t="s">
        <v>316</v>
      </c>
      <c r="C26" s="67">
        <f>SUM(C16*12.02%)</f>
        <v>24.383428571428571</v>
      </c>
    </row>
    <row r="27" spans="1:3" ht="15.75" x14ac:dyDescent="0.25">
      <c r="A27" s="6"/>
      <c r="B27" s="63" t="s">
        <v>327</v>
      </c>
      <c r="C27" s="67">
        <f>SUM(C16*4.8%)</f>
        <v>9.7371428571428567</v>
      </c>
    </row>
    <row r="28" spans="1:3" ht="15.75" x14ac:dyDescent="0.25">
      <c r="A28" s="6"/>
      <c r="B28" s="63" t="s">
        <v>328</v>
      </c>
      <c r="C28" s="67">
        <f>SUM(C16*2.8%)</f>
        <v>5.68</v>
      </c>
    </row>
    <row r="29" spans="1:3" ht="15.75" hidden="1" x14ac:dyDescent="0.25">
      <c r="A29" s="6"/>
      <c r="B29" s="79" t="s">
        <v>68</v>
      </c>
      <c r="C29" s="67">
        <v>2.0699999999999998</v>
      </c>
    </row>
    <row r="30" spans="1:3" ht="15.75" x14ac:dyDescent="0.25">
      <c r="A30" s="14" t="s">
        <v>1</v>
      </c>
      <c r="B30" s="64" t="s">
        <v>18</v>
      </c>
      <c r="C30" s="70">
        <f>C44+C45</f>
        <v>191.66000000000003</v>
      </c>
    </row>
    <row r="31" spans="1:3" ht="15.75" x14ac:dyDescent="0.25">
      <c r="A31" s="14"/>
      <c r="B31" s="80" t="s">
        <v>114</v>
      </c>
      <c r="C31" s="70"/>
    </row>
    <row r="32" spans="1:3" ht="15.75" x14ac:dyDescent="0.25">
      <c r="A32" s="6"/>
      <c r="B32" s="79" t="s">
        <v>98</v>
      </c>
      <c r="C32" s="67"/>
    </row>
    <row r="33" spans="1:3" ht="15.75" x14ac:dyDescent="0.25">
      <c r="A33" s="6"/>
      <c r="B33" s="79" t="s">
        <v>110</v>
      </c>
      <c r="C33" s="67"/>
    </row>
    <row r="34" spans="1:3" ht="15.75" x14ac:dyDescent="0.25">
      <c r="A34" s="6"/>
      <c r="B34" s="79" t="s">
        <v>40</v>
      </c>
      <c r="C34" s="67"/>
    </row>
    <row r="35" spans="1:3" ht="15.75" x14ac:dyDescent="0.25">
      <c r="A35" s="6"/>
      <c r="B35" s="79" t="s">
        <v>240</v>
      </c>
      <c r="C35" s="67"/>
    </row>
    <row r="36" spans="1:3" ht="15.75" x14ac:dyDescent="0.25">
      <c r="A36" s="6"/>
      <c r="B36" s="79" t="s">
        <v>241</v>
      </c>
      <c r="C36" s="67"/>
    </row>
    <row r="37" spans="1:3" ht="15.75" x14ac:dyDescent="0.25">
      <c r="A37" s="6"/>
      <c r="B37" s="63" t="s">
        <v>242</v>
      </c>
      <c r="C37" s="67"/>
    </row>
    <row r="38" spans="1:3" ht="15.75" x14ac:dyDescent="0.25">
      <c r="A38" s="6"/>
      <c r="B38" s="79" t="s">
        <v>243</v>
      </c>
      <c r="C38" s="67"/>
    </row>
    <row r="39" spans="1:3" ht="15.75" x14ac:dyDescent="0.25">
      <c r="A39" s="6"/>
      <c r="B39" s="79" t="s">
        <v>239</v>
      </c>
      <c r="C39" s="67"/>
    </row>
    <row r="40" spans="1:3" ht="15.75" x14ac:dyDescent="0.25">
      <c r="A40" s="6"/>
      <c r="B40" s="79" t="s">
        <v>46</v>
      </c>
      <c r="C40" s="67"/>
    </row>
    <row r="41" spans="1:3" ht="15.75" x14ac:dyDescent="0.25">
      <c r="A41" s="6"/>
      <c r="B41" s="79" t="s">
        <v>244</v>
      </c>
      <c r="C41" s="67"/>
    </row>
    <row r="42" spans="1:3" ht="15.75" x14ac:dyDescent="0.25">
      <c r="A42" s="6"/>
      <c r="B42" s="79" t="s">
        <v>112</v>
      </c>
      <c r="C42" s="67"/>
    </row>
    <row r="43" spans="1:3" ht="15.75" x14ac:dyDescent="0.25">
      <c r="A43" s="6"/>
      <c r="B43" s="79" t="s">
        <v>111</v>
      </c>
      <c r="C43" s="67"/>
    </row>
    <row r="44" spans="1:3" ht="15.75" x14ac:dyDescent="0.25">
      <c r="A44" s="6"/>
      <c r="B44" s="79" t="s">
        <v>330</v>
      </c>
      <c r="C44" s="70">
        <v>184.27</v>
      </c>
    </row>
    <row r="45" spans="1:3" ht="15.75" x14ac:dyDescent="0.25">
      <c r="A45" s="6"/>
      <c r="B45" s="79" t="s">
        <v>19</v>
      </c>
      <c r="C45" s="70">
        <f>SUM(C46:C55)</f>
        <v>7.3900000000000006</v>
      </c>
    </row>
    <row r="46" spans="1:3" ht="15.75" x14ac:dyDescent="0.25">
      <c r="A46" s="6"/>
      <c r="B46" s="79" t="s">
        <v>303</v>
      </c>
      <c r="C46" s="67"/>
    </row>
    <row r="47" spans="1:3" ht="15.75" x14ac:dyDescent="0.25">
      <c r="A47" s="6"/>
      <c r="B47" s="79" t="s">
        <v>20</v>
      </c>
      <c r="C47" s="67"/>
    </row>
    <row r="48" spans="1:3" ht="15.75" x14ac:dyDescent="0.25">
      <c r="A48" s="6"/>
      <c r="B48" s="79" t="s">
        <v>113</v>
      </c>
      <c r="C48" s="67">
        <v>4.4800000000000004</v>
      </c>
    </row>
    <row r="49" spans="1:3" ht="15.75" x14ac:dyDescent="0.25">
      <c r="A49" s="6"/>
      <c r="B49" s="79" t="s">
        <v>21</v>
      </c>
      <c r="C49" s="67"/>
    </row>
    <row r="50" spans="1:3" ht="15.75" x14ac:dyDescent="0.25">
      <c r="A50" s="6"/>
      <c r="B50" s="79" t="s">
        <v>22</v>
      </c>
      <c r="C50" s="67"/>
    </row>
    <row r="51" spans="1:3" ht="15.75" x14ac:dyDescent="0.25">
      <c r="A51" s="6"/>
      <c r="B51" s="79" t="s">
        <v>103</v>
      </c>
      <c r="C51" s="67">
        <v>1.27</v>
      </c>
    </row>
    <row r="52" spans="1:3" ht="15.75" x14ac:dyDescent="0.25">
      <c r="A52" s="6"/>
      <c r="B52" s="79" t="s">
        <v>23</v>
      </c>
      <c r="C52" s="67"/>
    </row>
    <row r="53" spans="1:3" ht="15.75" x14ac:dyDescent="0.25">
      <c r="A53" s="6"/>
      <c r="B53" s="79" t="s">
        <v>320</v>
      </c>
      <c r="C53" s="67">
        <v>0.33</v>
      </c>
    </row>
    <row r="54" spans="1:3" ht="15.75" x14ac:dyDescent="0.25">
      <c r="A54" s="6"/>
      <c r="B54" s="79" t="s">
        <v>24</v>
      </c>
      <c r="C54" s="67"/>
    </row>
    <row r="55" spans="1:3" ht="15.75" x14ac:dyDescent="0.25">
      <c r="A55" s="6"/>
      <c r="B55" s="79" t="s">
        <v>274</v>
      </c>
      <c r="C55" s="67">
        <v>1.31</v>
      </c>
    </row>
    <row r="56" spans="1:3" ht="15.75" x14ac:dyDescent="0.25">
      <c r="A56" s="14" t="s">
        <v>25</v>
      </c>
      <c r="B56" s="78" t="s">
        <v>331</v>
      </c>
      <c r="C56" s="70">
        <f>SUM(C30*0.3)</f>
        <v>57.498000000000005</v>
      </c>
    </row>
    <row r="57" spans="1:3" ht="15.75" x14ac:dyDescent="0.25">
      <c r="A57" s="14" t="s">
        <v>26</v>
      </c>
      <c r="B57" s="78" t="s">
        <v>332</v>
      </c>
      <c r="C57" s="70">
        <f>SUM(C15*1.2)</f>
        <v>291.18925714285712</v>
      </c>
    </row>
    <row r="58" spans="1:3" ht="15.75" x14ac:dyDescent="0.25">
      <c r="A58" s="14" t="s">
        <v>27</v>
      </c>
      <c r="B58" s="78" t="s">
        <v>42</v>
      </c>
      <c r="C58" s="70">
        <f>SUM(C15+C30+C56+C57)</f>
        <v>783.00497142857148</v>
      </c>
    </row>
    <row r="59" spans="1:3" s="62" customFormat="1" ht="15.75" x14ac:dyDescent="0.25">
      <c r="A59" s="68" t="s">
        <v>28</v>
      </c>
      <c r="B59" s="64" t="s">
        <v>333</v>
      </c>
      <c r="C59" s="70">
        <v>664.23</v>
      </c>
    </row>
    <row r="60" spans="1:3" ht="15.75" x14ac:dyDescent="0.25">
      <c r="A60" s="68" t="s">
        <v>29</v>
      </c>
      <c r="B60" s="78" t="s">
        <v>190</v>
      </c>
      <c r="C60" s="70">
        <v>169</v>
      </c>
    </row>
    <row r="61" spans="1:3" ht="15.75" x14ac:dyDescent="0.25">
      <c r="A61" s="68" t="s">
        <v>33</v>
      </c>
      <c r="B61" s="78" t="s">
        <v>43</v>
      </c>
      <c r="C61" s="70">
        <f>SUM(C58:C60)</f>
        <v>1616.2349714285715</v>
      </c>
    </row>
    <row r="62" spans="1:3" ht="18.75" x14ac:dyDescent="0.3">
      <c r="A62" s="68" t="s">
        <v>34</v>
      </c>
      <c r="B62" s="81" t="s">
        <v>431</v>
      </c>
      <c r="C62" s="70">
        <f>SUM(C61*52)</f>
        <v>84044.21851428572</v>
      </c>
    </row>
    <row r="63" spans="1:3" ht="15.75" x14ac:dyDescent="0.25">
      <c r="A63" s="14"/>
      <c r="B63" s="78"/>
      <c r="C63" s="70"/>
    </row>
    <row r="64" spans="1:3" ht="15.75" x14ac:dyDescent="0.25">
      <c r="A64" s="48"/>
      <c r="B64" s="22"/>
      <c r="C64" s="70">
        <f>SUM(C62:C63)</f>
        <v>84044.21851428572</v>
      </c>
    </row>
    <row r="65" spans="1:5" ht="15.75" x14ac:dyDescent="0.25">
      <c r="A65" s="8"/>
      <c r="B65" s="22" t="s">
        <v>258</v>
      </c>
      <c r="C65" s="67"/>
    </row>
    <row r="66" spans="1:5" ht="15.75" x14ac:dyDescent="0.25">
      <c r="A66" s="8"/>
      <c r="B66" s="82"/>
      <c r="C66" s="63"/>
    </row>
    <row r="67" spans="1:5" ht="15.75" x14ac:dyDescent="0.25">
      <c r="A67" s="8"/>
      <c r="B67" t="s">
        <v>219</v>
      </c>
      <c r="C67" s="63" t="s">
        <v>129</v>
      </c>
      <c r="D67" s="63" t="s">
        <v>130</v>
      </c>
    </row>
    <row r="68" spans="1:5" ht="15.75" x14ac:dyDescent="0.25">
      <c r="A68" s="8"/>
      <c r="B68" t="s">
        <v>334</v>
      </c>
      <c r="C68" s="83">
        <f>17259.08-D68</f>
        <v>10166.060000000001</v>
      </c>
      <c r="D68" s="83">
        <v>7093.02</v>
      </c>
    </row>
    <row r="69" spans="1:5" ht="15.75" x14ac:dyDescent="0.25">
      <c r="A69" s="8"/>
      <c r="B69" t="s">
        <v>335</v>
      </c>
      <c r="C69" s="83">
        <f>22511.7-D69</f>
        <v>13260.11</v>
      </c>
      <c r="D69" s="83">
        <v>9251.59</v>
      </c>
    </row>
    <row r="70" spans="1:5" ht="15.75" x14ac:dyDescent="0.25">
      <c r="A70" s="8"/>
      <c r="B70" t="s">
        <v>336</v>
      </c>
      <c r="C70" s="83">
        <f>16508.58-D70</f>
        <v>9724.090000000002</v>
      </c>
      <c r="D70" s="83">
        <v>6784.49</v>
      </c>
    </row>
    <row r="71" spans="1:5" ht="15.75" x14ac:dyDescent="0.25">
      <c r="A71" s="8"/>
      <c r="B71" t="s">
        <v>337</v>
      </c>
      <c r="C71" s="83">
        <v>16354</v>
      </c>
      <c r="D71" s="83">
        <v>11410.86</v>
      </c>
    </row>
    <row r="72" spans="1:5" ht="15.75" x14ac:dyDescent="0.25">
      <c r="A72" s="8"/>
      <c r="B72" s="74">
        <v>84043.79</v>
      </c>
      <c r="C72" s="83">
        <f>SUM(C68:C71)</f>
        <v>49504.26</v>
      </c>
      <c r="D72" s="83">
        <f>SUM(D68:D71)</f>
        <v>34539.96</v>
      </c>
      <c r="E72" s="99"/>
    </row>
    <row r="73" spans="1:5" ht="15.75" x14ac:dyDescent="0.25">
      <c r="A73" s="14"/>
      <c r="B73" s="78" t="s">
        <v>338</v>
      </c>
      <c r="C73" s="70">
        <v>14.43</v>
      </c>
    </row>
    <row r="74" spans="1:5" s="62" customFormat="1" ht="15.75" x14ac:dyDescent="0.25">
      <c r="A74" s="20"/>
      <c r="B74" s="113"/>
      <c r="C74" s="53"/>
    </row>
    <row r="75" spans="1:5" ht="15.75" x14ac:dyDescent="0.25">
      <c r="A75" s="8"/>
    </row>
    <row r="76" spans="1:5" ht="15.75" x14ac:dyDescent="0.25">
      <c r="A76" s="8"/>
      <c r="B76" s="125" t="s">
        <v>236</v>
      </c>
      <c r="C76" s="125"/>
    </row>
  </sheetData>
  <mergeCells count="3">
    <mergeCell ref="B76:C76"/>
    <mergeCell ref="A6:C6"/>
    <mergeCell ref="A7:C7"/>
  </mergeCells>
  <pageMargins left="0.7" right="0.7" top="0.75" bottom="0.75" header="0.3" footer="0.3"/>
  <pageSetup paperSize="9" scale="64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opLeftCell="A59" zoomScale="110" zoomScaleNormal="110" workbookViewId="0">
      <selection activeCell="B59" sqref="B59"/>
    </sheetView>
  </sheetViews>
  <sheetFormatPr defaultRowHeight="15" x14ac:dyDescent="0.25"/>
  <cols>
    <col min="1" max="1" width="5.7109375" customWidth="1"/>
    <col min="2" max="2" width="79.5703125" customWidth="1"/>
    <col min="3" max="3" width="15.7109375" customWidth="1"/>
    <col min="4" max="4" width="14.140625" customWidth="1"/>
  </cols>
  <sheetData>
    <row r="1" spans="1:3" ht="15.75" x14ac:dyDescent="0.25">
      <c r="A1" s="8"/>
      <c r="B1" s="19" t="s">
        <v>85</v>
      </c>
    </row>
    <row r="2" spans="1:3" ht="15.75" x14ac:dyDescent="0.25">
      <c r="A2" s="8"/>
      <c r="B2" s="7"/>
    </row>
    <row r="3" spans="1:3" ht="18.75" x14ac:dyDescent="0.3">
      <c r="A3" s="8"/>
      <c r="B3" s="18" t="s">
        <v>32</v>
      </c>
      <c r="C3" s="55"/>
    </row>
    <row r="4" spans="1:3" ht="18.75" x14ac:dyDescent="0.3">
      <c r="A4" s="8"/>
      <c r="B4" s="18"/>
    </row>
    <row r="5" spans="1:3" x14ac:dyDescent="0.25">
      <c r="A5" s="126" t="s">
        <v>35</v>
      </c>
      <c r="B5" s="126"/>
      <c r="C5" s="126"/>
    </row>
    <row r="6" spans="1:3" ht="16.5" thickBot="1" x14ac:dyDescent="0.3">
      <c r="A6" s="129" t="s">
        <v>339</v>
      </c>
      <c r="B6" s="129"/>
      <c r="C6" s="129"/>
    </row>
    <row r="7" spans="1:3" ht="15.75" x14ac:dyDescent="0.25">
      <c r="A7" s="9">
        <v>6</v>
      </c>
      <c r="B7" s="13" t="s">
        <v>4</v>
      </c>
      <c r="C7" s="2" t="s">
        <v>5</v>
      </c>
    </row>
    <row r="8" spans="1:3" ht="15.75" x14ac:dyDescent="0.25">
      <c r="A8" s="10" t="s">
        <v>3</v>
      </c>
      <c r="B8" s="3"/>
      <c r="C8" s="3"/>
    </row>
    <row r="9" spans="1:3" ht="15.75" x14ac:dyDescent="0.25">
      <c r="A9" s="14" t="s">
        <v>0</v>
      </c>
      <c r="B9" s="64" t="s">
        <v>6</v>
      </c>
      <c r="C9" s="67"/>
    </row>
    <row r="10" spans="1:3" ht="15.75" x14ac:dyDescent="0.25">
      <c r="A10" s="6"/>
      <c r="B10" s="63" t="s">
        <v>96</v>
      </c>
      <c r="C10" s="67"/>
    </row>
    <row r="11" spans="1:3" ht="15.75" x14ac:dyDescent="0.25">
      <c r="A11" s="6"/>
      <c r="B11" s="63" t="s">
        <v>7</v>
      </c>
      <c r="C11" s="67"/>
    </row>
    <row r="12" spans="1:3" ht="15.75" x14ac:dyDescent="0.25">
      <c r="A12" s="6"/>
      <c r="B12" s="63" t="s">
        <v>8</v>
      </c>
      <c r="C12" s="67"/>
    </row>
    <row r="13" spans="1:3" ht="15.75" x14ac:dyDescent="0.25">
      <c r="A13" s="6"/>
      <c r="B13" s="63" t="s">
        <v>56</v>
      </c>
      <c r="C13" s="67"/>
    </row>
    <row r="14" spans="1:3" ht="15.75" x14ac:dyDescent="0.25">
      <c r="A14" s="14" t="s">
        <v>10</v>
      </c>
      <c r="B14" s="64" t="s">
        <v>11</v>
      </c>
      <c r="C14" s="70">
        <f>SUM(C15+C24)</f>
        <v>242.65771428571429</v>
      </c>
    </row>
    <row r="15" spans="1:3" ht="15.75" x14ac:dyDescent="0.25">
      <c r="A15" s="6"/>
      <c r="B15" s="63" t="s">
        <v>326</v>
      </c>
      <c r="C15" s="70">
        <f>SUM(C16+C20)/21</f>
        <v>202.85714285714286</v>
      </c>
    </row>
    <row r="16" spans="1:3" ht="15.75" x14ac:dyDescent="0.25">
      <c r="A16" s="6"/>
      <c r="B16" s="63" t="s">
        <v>58</v>
      </c>
      <c r="C16" s="70">
        <f>SUM(C17:C18)</f>
        <v>1200</v>
      </c>
    </row>
    <row r="17" spans="1:3" ht="15.75" x14ac:dyDescent="0.25">
      <c r="A17" s="6"/>
      <c r="B17" s="63" t="s">
        <v>13</v>
      </c>
      <c r="C17" s="67">
        <v>1000</v>
      </c>
    </row>
    <row r="18" spans="1:3" ht="15.75" x14ac:dyDescent="0.25">
      <c r="A18" s="6"/>
      <c r="B18" s="63" t="s">
        <v>14</v>
      </c>
      <c r="C18" s="67">
        <v>200</v>
      </c>
    </row>
    <row r="19" spans="1:3" ht="15.75" x14ac:dyDescent="0.25">
      <c r="A19" s="6"/>
      <c r="B19" s="71" t="s">
        <v>185</v>
      </c>
      <c r="C19" s="67">
        <v>200</v>
      </c>
    </row>
    <row r="20" spans="1:3" ht="15.75" x14ac:dyDescent="0.25">
      <c r="A20" s="6"/>
      <c r="B20" s="63" t="s">
        <v>38</v>
      </c>
      <c r="C20" s="70">
        <f>SUM(C21:C22)</f>
        <v>3060</v>
      </c>
    </row>
    <row r="21" spans="1:3" ht="15.75" x14ac:dyDescent="0.25">
      <c r="A21" s="6"/>
      <c r="B21" s="63" t="s">
        <v>15</v>
      </c>
      <c r="C21" s="67">
        <v>2550</v>
      </c>
    </row>
    <row r="22" spans="1:3" ht="15.75" x14ac:dyDescent="0.25">
      <c r="A22" s="6"/>
      <c r="B22" s="63" t="s">
        <v>16</v>
      </c>
      <c r="C22" s="67">
        <v>510</v>
      </c>
    </row>
    <row r="23" spans="1:3" ht="15.75" x14ac:dyDescent="0.25">
      <c r="A23" s="6"/>
      <c r="B23" s="71" t="s">
        <v>185</v>
      </c>
      <c r="C23" s="67">
        <v>510</v>
      </c>
    </row>
    <row r="24" spans="1:3" ht="15.75" x14ac:dyDescent="0.25">
      <c r="A24" s="6"/>
      <c r="B24" s="63" t="s">
        <v>17</v>
      </c>
      <c r="C24" s="70">
        <f>SUM(C25:C27)</f>
        <v>39.800571428571423</v>
      </c>
    </row>
    <row r="25" spans="1:3" ht="15.75" x14ac:dyDescent="0.25">
      <c r="A25" s="6"/>
      <c r="B25" s="63" t="s">
        <v>340</v>
      </c>
      <c r="C25" s="67">
        <f>SUM(C15*12.02%)</f>
        <v>24.383428571428571</v>
      </c>
    </row>
    <row r="26" spans="1:3" ht="15.75" x14ac:dyDescent="0.25">
      <c r="A26" s="6"/>
      <c r="B26" s="63" t="s">
        <v>341</v>
      </c>
      <c r="C26" s="67">
        <f>SUM(C15*4.8%)</f>
        <v>9.7371428571428567</v>
      </c>
    </row>
    <row r="27" spans="1:3" ht="15.75" x14ac:dyDescent="0.25">
      <c r="A27" s="6"/>
      <c r="B27" s="63" t="s">
        <v>342</v>
      </c>
      <c r="C27" s="67">
        <f>SUM(C15*2.8%)</f>
        <v>5.68</v>
      </c>
    </row>
    <row r="28" spans="1:3" ht="15.75" hidden="1" x14ac:dyDescent="0.25">
      <c r="A28" s="6"/>
      <c r="B28" s="4" t="s">
        <v>68</v>
      </c>
      <c r="C28" s="12">
        <v>2.0699999999999998</v>
      </c>
    </row>
    <row r="29" spans="1:3" ht="15.75" x14ac:dyDescent="0.25">
      <c r="A29" s="14" t="s">
        <v>1</v>
      </c>
      <c r="B29" s="5" t="s">
        <v>18</v>
      </c>
      <c r="C29" s="16">
        <f>C41+C42</f>
        <v>218.34</v>
      </c>
    </row>
    <row r="30" spans="1:3" ht="15.75" x14ac:dyDescent="0.25">
      <c r="A30" s="14"/>
      <c r="B30" s="24" t="s">
        <v>184</v>
      </c>
      <c r="C30" s="16"/>
    </row>
    <row r="31" spans="1:3" ht="15.75" x14ac:dyDescent="0.25">
      <c r="A31" s="6"/>
      <c r="B31" s="4" t="s">
        <v>98</v>
      </c>
      <c r="C31" s="12"/>
    </row>
    <row r="32" spans="1:3" ht="15.75" x14ac:dyDescent="0.25">
      <c r="A32" s="6"/>
      <c r="B32" s="4" t="s">
        <v>110</v>
      </c>
      <c r="C32" s="12"/>
    </row>
    <row r="33" spans="1:3" ht="15.75" x14ac:dyDescent="0.25">
      <c r="A33" s="6"/>
      <c r="B33" s="4" t="s">
        <v>40</v>
      </c>
      <c r="C33" s="12"/>
    </row>
    <row r="34" spans="1:3" ht="15.75" x14ac:dyDescent="0.25">
      <c r="A34" s="6"/>
      <c r="B34" s="4" t="s">
        <v>343</v>
      </c>
      <c r="C34" s="12"/>
    </row>
    <row r="35" spans="1:3" s="62" customFormat="1" ht="15.75" x14ac:dyDescent="0.25">
      <c r="A35" s="65"/>
      <c r="B35" s="63" t="s">
        <v>345</v>
      </c>
      <c r="C35" s="67"/>
    </row>
    <row r="36" spans="1:3" s="62" customFormat="1" ht="15.75" x14ac:dyDescent="0.25">
      <c r="A36" s="65"/>
      <c r="B36" s="63" t="s">
        <v>162</v>
      </c>
      <c r="C36" s="67"/>
    </row>
    <row r="37" spans="1:3" ht="15.75" x14ac:dyDescent="0.25">
      <c r="A37" s="6"/>
      <c r="B37" s="4" t="s">
        <v>92</v>
      </c>
      <c r="C37" s="12"/>
    </row>
    <row r="38" spans="1:3" ht="15.75" x14ac:dyDescent="0.25">
      <c r="A38" s="6"/>
      <c r="B38" s="4" t="s">
        <v>344</v>
      </c>
      <c r="C38" s="16"/>
    </row>
    <row r="39" spans="1:3" ht="15.75" x14ac:dyDescent="0.25">
      <c r="A39" s="6"/>
      <c r="B39" s="4" t="s">
        <v>163</v>
      </c>
      <c r="C39" s="16"/>
    </row>
    <row r="40" spans="1:3" ht="15.75" x14ac:dyDescent="0.25">
      <c r="A40" s="6"/>
      <c r="B40" s="4" t="s">
        <v>156</v>
      </c>
      <c r="C40" s="16"/>
    </row>
    <row r="41" spans="1:3" ht="15.75" x14ac:dyDescent="0.25">
      <c r="A41" s="6"/>
      <c r="B41" s="4" t="s">
        <v>346</v>
      </c>
      <c r="C41" s="16">
        <v>210.31</v>
      </c>
    </row>
    <row r="42" spans="1:3" ht="15.75" x14ac:dyDescent="0.25">
      <c r="A42" s="6"/>
      <c r="B42" s="4" t="s">
        <v>19</v>
      </c>
      <c r="C42" s="16">
        <f>C45+C48+C50+C52</f>
        <v>8.0300000000000011</v>
      </c>
    </row>
    <row r="43" spans="1:3" ht="15.75" x14ac:dyDescent="0.25">
      <c r="A43" s="6"/>
      <c r="B43" s="4" t="s">
        <v>303</v>
      </c>
      <c r="C43" s="12"/>
    </row>
    <row r="44" spans="1:3" ht="15.75" x14ac:dyDescent="0.25">
      <c r="A44" s="6"/>
      <c r="B44" s="4" t="s">
        <v>20</v>
      </c>
      <c r="C44" s="12"/>
    </row>
    <row r="45" spans="1:3" ht="15.75" x14ac:dyDescent="0.25">
      <c r="A45" s="6"/>
      <c r="B45" s="4" t="s">
        <v>164</v>
      </c>
      <c r="C45" s="12">
        <v>5.12</v>
      </c>
    </row>
    <row r="46" spans="1:3" ht="15.75" x14ac:dyDescent="0.25">
      <c r="A46" s="6"/>
      <c r="B46" s="4" t="s">
        <v>21</v>
      </c>
      <c r="C46" s="12"/>
    </row>
    <row r="47" spans="1:3" ht="15.75" x14ac:dyDescent="0.25">
      <c r="A47" s="6"/>
      <c r="B47" s="4" t="s">
        <v>22</v>
      </c>
      <c r="C47" s="12"/>
    </row>
    <row r="48" spans="1:3" ht="15.75" x14ac:dyDescent="0.25">
      <c r="A48" s="6"/>
      <c r="B48" s="4" t="s">
        <v>103</v>
      </c>
      <c r="C48" s="12">
        <v>1.27</v>
      </c>
    </row>
    <row r="49" spans="1:4" ht="15.75" x14ac:dyDescent="0.25">
      <c r="A49" s="6"/>
      <c r="B49" s="4" t="s">
        <v>23</v>
      </c>
      <c r="C49" s="12"/>
    </row>
    <row r="50" spans="1:4" ht="15.75" x14ac:dyDescent="0.25">
      <c r="A50" s="6"/>
      <c r="B50" s="4" t="s">
        <v>320</v>
      </c>
      <c r="C50" s="12">
        <v>0.33</v>
      </c>
    </row>
    <row r="51" spans="1:4" ht="15.75" x14ac:dyDescent="0.25">
      <c r="A51" s="6"/>
      <c r="B51" s="4" t="s">
        <v>24</v>
      </c>
      <c r="C51" s="12"/>
    </row>
    <row r="52" spans="1:4" ht="15.75" x14ac:dyDescent="0.25">
      <c r="A52" s="6"/>
      <c r="B52" s="4" t="s">
        <v>274</v>
      </c>
      <c r="C52" s="12">
        <v>1.31</v>
      </c>
    </row>
    <row r="53" spans="1:4" ht="15.75" x14ac:dyDescent="0.25">
      <c r="A53" s="14" t="s">
        <v>25</v>
      </c>
      <c r="B53" s="5" t="s">
        <v>347</v>
      </c>
      <c r="C53" s="16">
        <f>SUM(C29*0.3)</f>
        <v>65.501999999999995</v>
      </c>
    </row>
    <row r="54" spans="1:4" ht="15.75" x14ac:dyDescent="0.25">
      <c r="A54" s="14" t="s">
        <v>26</v>
      </c>
      <c r="B54" s="5" t="s">
        <v>348</v>
      </c>
      <c r="C54" s="16">
        <f>SUM(C14*1.2)</f>
        <v>291.18925714285712</v>
      </c>
    </row>
    <row r="55" spans="1:4" ht="15.75" x14ac:dyDescent="0.25">
      <c r="A55" s="14" t="s">
        <v>27</v>
      </c>
      <c r="B55" s="5" t="s">
        <v>42</v>
      </c>
      <c r="C55" s="16">
        <f>SUM(C14+C29+C53+C54)</f>
        <v>817.68897142857145</v>
      </c>
    </row>
    <row r="56" spans="1:4" s="62" customFormat="1" ht="15.75" x14ac:dyDescent="0.25">
      <c r="A56" s="68" t="s">
        <v>28</v>
      </c>
      <c r="B56" s="64" t="s">
        <v>349</v>
      </c>
      <c r="C56" s="70">
        <v>766.42</v>
      </c>
    </row>
    <row r="57" spans="1:4" ht="15.75" x14ac:dyDescent="0.25">
      <c r="A57" s="68" t="s">
        <v>29</v>
      </c>
      <c r="B57" s="64" t="s">
        <v>220</v>
      </c>
      <c r="C57" s="70">
        <v>195.38</v>
      </c>
    </row>
    <row r="58" spans="1:4" ht="15.75" x14ac:dyDescent="0.25">
      <c r="A58" s="68" t="s">
        <v>33</v>
      </c>
      <c r="B58" s="5" t="s">
        <v>43</v>
      </c>
      <c r="C58" s="16">
        <f>SUM(C55:C57)</f>
        <v>1779.4889714285714</v>
      </c>
    </row>
    <row r="59" spans="1:4" ht="18" customHeight="1" x14ac:dyDescent="0.25">
      <c r="A59" s="68" t="s">
        <v>34</v>
      </c>
      <c r="B59" s="91" t="s">
        <v>432</v>
      </c>
      <c r="C59" s="37">
        <f>SUM(C58*52)</f>
        <v>92533.426514285718</v>
      </c>
    </row>
    <row r="60" spans="1:4" ht="15.75" x14ac:dyDescent="0.25">
      <c r="A60" s="14"/>
      <c r="B60" s="5"/>
      <c r="C60" s="37"/>
    </row>
    <row r="61" spans="1:4" ht="18.75" x14ac:dyDescent="0.3">
      <c r="A61" s="6"/>
      <c r="B61" s="58" t="s">
        <v>83</v>
      </c>
      <c r="C61" s="37">
        <f>SUM(C59:C60)</f>
        <v>92533.426514285718</v>
      </c>
    </row>
    <row r="62" spans="1:4" ht="15.75" x14ac:dyDescent="0.25">
      <c r="A62" s="8"/>
      <c r="B62" s="22"/>
      <c r="C62" s="28"/>
    </row>
    <row r="63" spans="1:4" ht="15.6" x14ac:dyDescent="0.3">
      <c r="A63" s="8"/>
      <c r="B63" s="36"/>
      <c r="C63" s="15"/>
    </row>
    <row r="64" spans="1:4" ht="15.75" x14ac:dyDescent="0.25">
      <c r="A64" s="8"/>
      <c r="B64" s="22" t="s">
        <v>258</v>
      </c>
      <c r="C64" s="42" t="s">
        <v>135</v>
      </c>
      <c r="D64" s="42" t="s">
        <v>136</v>
      </c>
    </row>
    <row r="65" spans="1:5" s="62" customFormat="1" ht="15.75" x14ac:dyDescent="0.25">
      <c r="A65" s="66"/>
      <c r="B65" s="72" t="s">
        <v>351</v>
      </c>
      <c r="C65" s="115">
        <f>57655.44-D65</f>
        <v>32823.230000000003</v>
      </c>
      <c r="D65" s="115">
        <v>24832.21</v>
      </c>
    </row>
    <row r="66" spans="1:5" s="62" customFormat="1" ht="15.75" x14ac:dyDescent="0.25">
      <c r="A66" s="66"/>
      <c r="B66" s="72" t="s">
        <v>350</v>
      </c>
      <c r="C66" s="117">
        <f>34877.99-D66</f>
        <v>19856.36</v>
      </c>
      <c r="D66" s="115">
        <v>15021.63</v>
      </c>
    </row>
    <row r="67" spans="1:5" s="62" customFormat="1" ht="15.6" x14ac:dyDescent="0.3">
      <c r="A67" s="66"/>
      <c r="B67" s="90"/>
      <c r="C67" s="117">
        <f>SUM(C65:C66)</f>
        <v>52679.590000000004</v>
      </c>
      <c r="D67" s="115">
        <f>C56*52</f>
        <v>39853.839999999997</v>
      </c>
      <c r="E67" s="88"/>
    </row>
    <row r="68" spans="1:5" ht="15.75" x14ac:dyDescent="0.25">
      <c r="A68" s="14" t="s">
        <v>33</v>
      </c>
      <c r="B68" s="5" t="s">
        <v>352</v>
      </c>
      <c r="C68" s="118">
        <v>13.69</v>
      </c>
      <c r="D68" s="44"/>
    </row>
    <row r="70" spans="1:5" s="62" customFormat="1" x14ac:dyDescent="0.25"/>
    <row r="72" spans="1:5" ht="23.25" customHeight="1" x14ac:dyDescent="0.25">
      <c r="B72" s="125" t="s">
        <v>137</v>
      </c>
      <c r="C72" s="125"/>
    </row>
  </sheetData>
  <mergeCells count="3">
    <mergeCell ref="A5:C5"/>
    <mergeCell ref="A6:C6"/>
    <mergeCell ref="B72:C7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19</vt:i4>
      </vt:variant>
      <vt:variant>
        <vt:lpstr>Наименувани диапазони</vt:lpstr>
      </vt:variant>
      <vt:variant>
        <vt:i4>13</vt:i4>
      </vt:variant>
    </vt:vector>
  </HeadingPairs>
  <TitlesOfParts>
    <vt:vector size="32" baseType="lpstr">
      <vt:lpstr>09-91</vt:lpstr>
      <vt:lpstr>ЗЕТОР</vt:lpstr>
      <vt:lpstr>БЕЛАРУС</vt:lpstr>
      <vt:lpstr>търнава</vt:lpstr>
      <vt:lpstr>попица</vt:lpstr>
      <vt:lpstr>драшан габаре бъркачево враняк</vt:lpstr>
      <vt:lpstr>алтимир галиче</vt:lpstr>
      <vt:lpstr>бук. тл.ко. сок</vt:lpstr>
      <vt:lpstr>търнак БЪРДАРЕ</vt:lpstr>
      <vt:lpstr>68-48</vt:lpstr>
      <vt:lpstr>метачка</vt:lpstr>
      <vt:lpstr>ОБОЩЕНА</vt:lpstr>
      <vt:lpstr>БУЛДОЗЕР</vt:lpstr>
      <vt:lpstr>Лист1</vt:lpstr>
      <vt:lpstr>ИВЕКО49-04</vt:lpstr>
      <vt:lpstr>ШКОДА</vt:lpstr>
      <vt:lpstr>Зил</vt:lpstr>
      <vt:lpstr>ТК - 80</vt:lpstr>
      <vt:lpstr>МЕРЦЕДЕС 2437  </vt:lpstr>
      <vt:lpstr>'68-48'!Област_печат</vt:lpstr>
      <vt:lpstr>'алтимир галиче'!Област_печат</vt:lpstr>
      <vt:lpstr>БЕЛАРУС!Област_печат</vt:lpstr>
      <vt:lpstr>'бук. тл.ко. сок'!Област_печат</vt:lpstr>
      <vt:lpstr>БУЛДОЗЕР!Област_печат</vt:lpstr>
      <vt:lpstr>'драшан габаре бъркачево враняк'!Област_печат</vt:lpstr>
      <vt:lpstr>ЗЕТОР!Област_печат</vt:lpstr>
      <vt:lpstr>'МЕРЦЕДЕС 2437  '!Област_печат</vt:lpstr>
      <vt:lpstr>метачка!Област_печат</vt:lpstr>
      <vt:lpstr>ОБОЩЕНА!Област_печат</vt:lpstr>
      <vt:lpstr>попица!Област_печат</vt:lpstr>
      <vt:lpstr>търнава!Област_печат</vt:lpstr>
      <vt:lpstr>'търнак БЪРДАРЕ'!Област_печат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bksn</cp:lastModifiedBy>
  <cp:lastPrinted>2022-10-28T11:23:24Z</cp:lastPrinted>
  <dcterms:created xsi:type="dcterms:W3CDTF">2015-11-06T09:16:26Z</dcterms:created>
  <dcterms:modified xsi:type="dcterms:W3CDTF">2022-11-10T12:53:15Z</dcterms:modified>
</cp:coreProperties>
</file>